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go-Nakazato\Documents\進行中の企画\不動産投資Q&amp;A本\"/>
    </mc:Choice>
  </mc:AlternateContent>
  <bookViews>
    <workbookView xWindow="0" yWindow="0" windowWidth="19200" windowHeight="11760"/>
  </bookViews>
  <sheets>
    <sheet name="収益不動産ＣＦ分析シート" sheetId="1" r:id="rId1"/>
  </sheets>
  <definedNames>
    <definedName name="_xlnm.Print_Area" localSheetId="0">収益不動産ＣＦ分析シート!$B$4:$Y$39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Q20" i="1" l="1"/>
  <c r="R20" i="1"/>
  <c r="S20" i="1"/>
  <c r="T20" i="1"/>
  <c r="U20" i="1"/>
  <c r="V20" i="1"/>
  <c r="W20" i="1"/>
  <c r="X20" i="1"/>
  <c r="Y20" i="1"/>
  <c r="P20" i="1"/>
  <c r="Q18" i="1"/>
  <c r="R18" i="1"/>
  <c r="S18" i="1"/>
  <c r="T18" i="1"/>
  <c r="U18" i="1"/>
  <c r="V18" i="1"/>
  <c r="W18" i="1"/>
  <c r="X18" i="1"/>
  <c r="Y18" i="1"/>
  <c r="P18" i="1"/>
  <c r="Q17" i="1"/>
  <c r="R17" i="1"/>
  <c r="S17" i="1"/>
  <c r="T17" i="1"/>
  <c r="U17" i="1"/>
  <c r="V17" i="1"/>
  <c r="W17" i="1"/>
  <c r="X17" i="1"/>
  <c r="Y17" i="1"/>
  <c r="P17" i="1"/>
  <c r="Q16" i="1"/>
  <c r="R16" i="1"/>
  <c r="S16" i="1"/>
  <c r="T16" i="1"/>
  <c r="U16" i="1"/>
  <c r="V16" i="1"/>
  <c r="W16" i="1"/>
  <c r="X16" i="1"/>
  <c r="Y16" i="1"/>
  <c r="P16" i="1"/>
  <c r="Q15" i="1"/>
  <c r="R15" i="1"/>
  <c r="S15" i="1"/>
  <c r="T15" i="1"/>
  <c r="U15" i="1"/>
  <c r="V15" i="1"/>
  <c r="W15" i="1"/>
  <c r="X15" i="1"/>
  <c r="Y15" i="1"/>
  <c r="P15" i="1"/>
  <c r="Q14" i="1"/>
  <c r="R14" i="1"/>
  <c r="S14" i="1"/>
  <c r="T14" i="1"/>
  <c r="U14" i="1"/>
  <c r="V14" i="1"/>
  <c r="W14" i="1"/>
  <c r="X14" i="1"/>
  <c r="Y14" i="1"/>
  <c r="P14" i="1"/>
  <c r="Q13" i="1"/>
  <c r="R13" i="1"/>
  <c r="S13" i="1"/>
  <c r="T13" i="1"/>
  <c r="U13" i="1"/>
  <c r="V13" i="1"/>
  <c r="W13" i="1"/>
  <c r="X13" i="1"/>
  <c r="Y13" i="1"/>
  <c r="P13" i="1"/>
  <c r="Q12" i="1"/>
  <c r="R12" i="1"/>
  <c r="S12" i="1"/>
  <c r="T12" i="1"/>
  <c r="U12" i="1"/>
  <c r="V12" i="1"/>
  <c r="W12" i="1"/>
  <c r="X12" i="1"/>
  <c r="Y12" i="1"/>
  <c r="P12" i="1"/>
  <c r="Q11" i="1"/>
  <c r="R11" i="1"/>
  <c r="S11" i="1"/>
  <c r="T11" i="1"/>
  <c r="U11" i="1"/>
  <c r="V11" i="1"/>
  <c r="W11" i="1"/>
  <c r="X11" i="1"/>
  <c r="Y11" i="1"/>
  <c r="P11" i="1"/>
  <c r="Q10" i="1"/>
  <c r="R10" i="1"/>
  <c r="S10" i="1"/>
  <c r="T10" i="1"/>
  <c r="U10" i="1"/>
  <c r="V10" i="1"/>
  <c r="W10" i="1"/>
  <c r="X10" i="1"/>
  <c r="Y10" i="1"/>
  <c r="P10" i="1"/>
  <c r="K38" i="1"/>
  <c r="I7" i="1" s="1"/>
  <c r="D39" i="1" l="1"/>
  <c r="E39" i="1" s="1"/>
  <c r="D33" i="1"/>
  <c r="E30" i="1"/>
  <c r="K21" i="1" s="1"/>
  <c r="F25" i="1"/>
  <c r="F23" i="1"/>
  <c r="F31" i="1" s="1"/>
  <c r="E20" i="1"/>
  <c r="F20" i="1" s="1"/>
  <c r="Y19" i="1"/>
  <c r="X19" i="1"/>
  <c r="W19" i="1"/>
  <c r="V19" i="1"/>
  <c r="U19" i="1"/>
  <c r="T19" i="1"/>
  <c r="S19" i="1"/>
  <c r="R19" i="1"/>
  <c r="Q19" i="1"/>
  <c r="P19" i="1"/>
  <c r="F18" i="1"/>
  <c r="F17" i="1"/>
  <c r="K16" i="1"/>
  <c r="F15" i="1"/>
  <c r="E13" i="1"/>
  <c r="F11" i="1"/>
  <c r="I8" i="1"/>
  <c r="E8" i="1"/>
  <c r="F28" i="1" s="1"/>
  <c r="E7" i="1"/>
  <c r="F6" i="1"/>
  <c r="F8" i="1" l="1"/>
  <c r="K10" i="1" s="1"/>
  <c r="F19" i="1"/>
  <c r="F21" i="1" s="1"/>
  <c r="K6" i="1"/>
  <c r="K7" i="1" s="1"/>
  <c r="L38" i="1"/>
  <c r="N38" i="1" s="1"/>
  <c r="N39" i="1" s="1"/>
  <c r="I33" i="1" s="1"/>
  <c r="K33" i="1" s="1"/>
  <c r="K14" i="1"/>
  <c r="F26" i="1"/>
  <c r="K13" i="1" s="1"/>
  <c r="O33" i="1" s="1"/>
  <c r="P21" i="1" s="1"/>
  <c r="F24" i="1"/>
  <c r="F30" i="1"/>
  <c r="K9" i="1"/>
  <c r="K20" i="1"/>
  <c r="K8" i="1" l="1"/>
  <c r="Q24" i="1"/>
  <c r="S24" i="1"/>
  <c r="U24" i="1"/>
  <c r="X24" i="1"/>
  <c r="W24" i="1"/>
  <c r="R24" i="1"/>
  <c r="P24" i="1"/>
  <c r="Y24" i="1"/>
  <c r="V24" i="1"/>
  <c r="T24" i="1"/>
  <c r="Y6" i="1"/>
  <c r="Y7" i="1" s="1"/>
  <c r="T6" i="1"/>
  <c r="T7" i="1" s="1"/>
  <c r="O6" i="1"/>
  <c r="G29" i="1"/>
  <c r="E29" i="1" s="1"/>
  <c r="G37" i="1"/>
  <c r="F39" i="1" s="1"/>
  <c r="L17" i="1"/>
  <c r="L16" i="1"/>
  <c r="P29" i="1" l="1"/>
  <c r="P33" i="1" s="1"/>
  <c r="F29" i="1"/>
  <c r="F32" i="1"/>
  <c r="G33" i="1"/>
  <c r="O7" i="1"/>
  <c r="U6" i="1"/>
  <c r="U7" i="1" s="1"/>
  <c r="Q6" i="1"/>
  <c r="Q7" i="1" s="1"/>
  <c r="X6" i="1"/>
  <c r="X7" i="1" s="1"/>
  <c r="P6" i="1"/>
  <c r="P7" i="1" s="1"/>
  <c r="P9" i="1" s="1"/>
  <c r="P22" i="1" s="1"/>
  <c r="W6" i="1"/>
  <c r="W7" i="1" s="1"/>
  <c r="S6" i="1"/>
  <c r="S7" i="1" s="1"/>
  <c r="V6" i="1"/>
  <c r="V7" i="1" s="1"/>
  <c r="R6" i="1"/>
  <c r="R7" i="1" s="1"/>
  <c r="T9" i="1"/>
  <c r="E37" i="1"/>
  <c r="F37" i="1" s="1"/>
  <c r="F38" i="1"/>
  <c r="Y9" i="1"/>
  <c r="P25" i="1" l="1"/>
  <c r="P26" i="1" s="1"/>
  <c r="W9" i="1"/>
  <c r="U9" i="1"/>
  <c r="R9" i="1"/>
  <c r="P34" i="1"/>
  <c r="Q21" i="1"/>
  <c r="Q29" i="1" s="1"/>
  <c r="Q33" i="1" s="1"/>
  <c r="V9" i="1"/>
  <c r="X9" i="1"/>
  <c r="E35" i="1"/>
  <c r="F35" i="1" s="1"/>
  <c r="F34" i="1"/>
  <c r="S9" i="1"/>
  <c r="Q9" i="1"/>
  <c r="Q22" i="1" l="1"/>
  <c r="Q25" i="1" s="1"/>
  <c r="P27" i="1"/>
  <c r="Q34" i="1"/>
  <c r="R21" i="1"/>
  <c r="R29" i="1" s="1"/>
  <c r="R33" i="1" s="1"/>
  <c r="Q26" i="1"/>
  <c r="Q27" i="1" s="1"/>
  <c r="Q28" i="1" s="1"/>
  <c r="Q30" i="1" s="1"/>
  <c r="P28" i="1" l="1"/>
  <c r="P30" i="1" s="1"/>
  <c r="P31" i="1" s="1"/>
  <c r="Q31" i="1" s="1"/>
  <c r="R22" i="1"/>
  <c r="R25" i="1" s="1"/>
  <c r="R26" i="1" s="1"/>
  <c r="R27" i="1" s="1"/>
  <c r="R28" i="1" s="1"/>
  <c r="R30" i="1" s="1"/>
  <c r="R34" i="1"/>
  <c r="S21" i="1"/>
  <c r="R31" i="1" l="1"/>
  <c r="S29" i="1"/>
  <c r="S33" i="1" s="1"/>
  <c r="S22" i="1"/>
  <c r="S25" i="1" s="1"/>
  <c r="S26" i="1" l="1"/>
  <c r="S27" i="1" s="1"/>
  <c r="S28" i="1" s="1"/>
  <c r="S30" i="1" s="1"/>
  <c r="S31" i="1" s="1"/>
  <c r="S34" i="1"/>
  <c r="T21" i="1"/>
  <c r="T29" i="1" l="1"/>
  <c r="T33" i="1" s="1"/>
  <c r="T22" i="1"/>
  <c r="T25" i="1" s="1"/>
  <c r="T34" i="1" l="1"/>
  <c r="U21" i="1"/>
  <c r="T26" i="1"/>
  <c r="T27" i="1" s="1"/>
  <c r="T28" i="1" s="1"/>
  <c r="T30" i="1" s="1"/>
  <c r="T31" i="1" s="1"/>
  <c r="U29" i="1" l="1"/>
  <c r="U33" i="1" s="1"/>
  <c r="U22" i="1"/>
  <c r="U25" i="1" s="1"/>
  <c r="U26" i="1" l="1"/>
  <c r="U27" i="1" s="1"/>
  <c r="U28" i="1" s="1"/>
  <c r="U30" i="1" s="1"/>
  <c r="U31" i="1" s="1"/>
  <c r="U34" i="1"/>
  <c r="V21" i="1"/>
  <c r="V29" i="1" l="1"/>
  <c r="V33" i="1" s="1"/>
  <c r="V22" i="1"/>
  <c r="V25" i="1" s="1"/>
  <c r="V34" i="1" l="1"/>
  <c r="W21" i="1"/>
  <c r="V26" i="1"/>
  <c r="V27" i="1" s="1"/>
  <c r="V28" i="1" s="1"/>
  <c r="V30" i="1" s="1"/>
  <c r="V31" i="1" s="1"/>
  <c r="W29" i="1" l="1"/>
  <c r="W33" i="1" s="1"/>
  <c r="W22" i="1"/>
  <c r="W25" i="1" s="1"/>
  <c r="W26" i="1" l="1"/>
  <c r="W27" i="1" s="1"/>
  <c r="W28" i="1" s="1"/>
  <c r="W30" i="1" s="1"/>
  <c r="W31" i="1" s="1"/>
  <c r="W34" i="1"/>
  <c r="X21" i="1"/>
  <c r="X29" i="1" l="1"/>
  <c r="X33" i="1" s="1"/>
  <c r="X22" i="1"/>
  <c r="X25" i="1" s="1"/>
  <c r="X26" i="1" l="1"/>
  <c r="X27" i="1" s="1"/>
  <c r="X28" i="1" s="1"/>
  <c r="X30" i="1" s="1"/>
  <c r="X31" i="1" s="1"/>
  <c r="X34" i="1"/>
  <c r="Y21" i="1"/>
  <c r="Y29" i="1" l="1"/>
  <c r="Y33" i="1" s="1"/>
  <c r="Y34" i="1" s="1"/>
  <c r="Y22" i="1"/>
  <c r="Y25" i="1" s="1"/>
  <c r="Y26" i="1" l="1"/>
  <c r="Y27" i="1" s="1"/>
  <c r="Y28" i="1" s="1"/>
  <c r="Y30" i="1" s="1"/>
  <c r="Y31" i="1" s="1"/>
</calcChain>
</file>

<file path=xl/comments1.xml><?xml version="1.0" encoding="utf-8"?>
<comments xmlns="http://schemas.openxmlformats.org/spreadsheetml/2006/main">
  <authors>
    <author>鈴木宏史</author>
    <author>作成者</author>
  </authors>
  <commentList>
    <comment ref="C14" authorId="0" shapeId="0">
      <text>
        <r>
          <rPr>
            <b/>
            <sz val="9"/>
            <color indexed="81"/>
            <rFont val="HGPｺﾞｼｯｸM"/>
            <family val="3"/>
            <charset val="128"/>
          </rPr>
          <t>国税庁
路線価図・評価倍率表で路線価を調べる</t>
        </r>
      </text>
    </comment>
    <comment ref="K15" authorId="0" shapeId="0">
      <text>
        <r>
          <rPr>
            <b/>
            <sz val="9"/>
            <color indexed="81"/>
            <rFont val="HGPｺﾞｼｯｸM"/>
            <family val="3"/>
            <charset val="128"/>
          </rPr>
          <t>1：元金均等返済
2：元利均等返済</t>
        </r>
      </text>
    </comment>
    <comment ref="C25" authorId="0" shapeId="0">
      <text>
        <r>
          <rPr>
            <b/>
            <sz val="9"/>
            <color indexed="81"/>
            <rFont val="HGPｺﾞｼｯｸM"/>
            <family val="3"/>
            <charset val="128"/>
          </rPr>
          <t>&lt;諸費用の目安&gt;
物件価格の7％～10％</t>
        </r>
      </text>
    </comment>
    <comment ref="F29" authorId="0" shapeId="0">
      <text>
        <r>
          <rPr>
            <b/>
            <sz val="9"/>
            <color indexed="81"/>
            <rFont val="HGPｺﾞｼｯｸM"/>
            <family val="3"/>
            <charset val="128"/>
          </rPr>
          <t>&lt;判定&gt;
40%以下：◎
45%以下：○
55%以下：△
56%以上：×</t>
        </r>
      </text>
    </comment>
    <comment ref="D30" authorId="0" shapeId="0">
      <text>
        <r>
          <rPr>
            <b/>
            <sz val="9"/>
            <color indexed="81"/>
            <rFont val="HGPｺﾞｼｯｸM"/>
            <family val="3"/>
            <charset val="128"/>
          </rPr>
          <t>&lt;空室率&gt;
保守的に10％～15％でみる</t>
        </r>
      </text>
    </comment>
    <comment ref="D31" authorId="0" shapeId="0">
      <text>
        <r>
          <rPr>
            <b/>
            <sz val="9"/>
            <color indexed="81"/>
            <rFont val="HGPｺﾞｼｯｸM"/>
            <family val="3"/>
            <charset val="128"/>
          </rPr>
          <t>&lt;経費率&gt;
20％～25％程度で検討する</t>
        </r>
      </text>
    </comment>
    <comment ref="F35" authorId="1" shapeId="0">
      <text>
        <r>
          <rPr>
            <b/>
            <sz val="9"/>
            <color indexed="81"/>
            <rFont val="HGPｺﾞｼｯｸM"/>
            <family val="3"/>
            <charset val="128"/>
          </rPr>
          <t>&lt;1億円当たりのCF&gt;
300万円以上→Excellent
250万円以上→Good
200万円以上→Passable
200万円未満→Bad
※Passable以上を目標とする</t>
        </r>
      </text>
    </comment>
  </commentList>
</comments>
</file>

<file path=xl/sharedStrings.xml><?xml version="1.0" encoding="utf-8"?>
<sst xmlns="http://schemas.openxmlformats.org/spreadsheetml/2006/main" count="91" uniqueCount="89">
  <si>
    <t>&lt;収益不動産ＣＦ分析シート&gt;</t>
    <rPh sb="1" eb="3">
      <t>シュウエキ</t>
    </rPh>
    <rPh sb="3" eb="6">
      <t>フドウサン</t>
    </rPh>
    <rPh sb="8" eb="10">
      <t>ブンセキ</t>
    </rPh>
    <phoneticPr fontId="4"/>
  </si>
  <si>
    <t>単位：千円</t>
    <phoneticPr fontId="4"/>
  </si>
  <si>
    <t>物件概要</t>
    <rPh sb="0" eb="2">
      <t>ブッケン</t>
    </rPh>
    <rPh sb="2" eb="4">
      <t>ガイヨウ</t>
    </rPh>
    <phoneticPr fontId="4"/>
  </si>
  <si>
    <t>物件名称／査定日</t>
    <rPh sb="0" eb="2">
      <t>ブッケン</t>
    </rPh>
    <rPh sb="2" eb="4">
      <t>メイショウ</t>
    </rPh>
    <rPh sb="5" eb="7">
      <t>サテイ</t>
    </rPh>
    <rPh sb="7" eb="8">
      <t>ビ</t>
    </rPh>
    <phoneticPr fontId="4"/>
  </si>
  <si>
    <t>〇〇レジデンス</t>
    <phoneticPr fontId="6"/>
  </si>
  <si>
    <t>土地建物按分等</t>
    <rPh sb="0" eb="2">
      <t>トチ</t>
    </rPh>
    <rPh sb="2" eb="4">
      <t>タテモノ</t>
    </rPh>
    <rPh sb="4" eb="6">
      <t>アンブン</t>
    </rPh>
    <rPh sb="6" eb="7">
      <t>トウ</t>
    </rPh>
    <phoneticPr fontId="4"/>
  </si>
  <si>
    <t>取得時</t>
    <rPh sb="0" eb="2">
      <t>シュトク</t>
    </rPh>
    <rPh sb="2" eb="3">
      <t>ジ</t>
    </rPh>
    <phoneticPr fontId="4"/>
  </si>
  <si>
    <t>躯体構造／法定耐用年数</t>
    <phoneticPr fontId="4"/>
  </si>
  <si>
    <t>RC/SRC</t>
  </si>
  <si>
    <t>購入価格</t>
    <rPh sb="0" eb="2">
      <t>コウニュウ</t>
    </rPh>
    <rPh sb="2" eb="4">
      <t>カカク</t>
    </rPh>
    <phoneticPr fontId="4"/>
  </si>
  <si>
    <t>満室家賃収入</t>
    <rPh sb="0" eb="2">
      <t>マンシツ</t>
    </rPh>
    <rPh sb="2" eb="4">
      <t>ヤチン</t>
    </rPh>
    <rPh sb="4" eb="6">
      <t>シュウニュウ</t>
    </rPh>
    <phoneticPr fontId="4"/>
  </si>
  <si>
    <t>築年数</t>
    <phoneticPr fontId="4"/>
  </si>
  <si>
    <t>満室×稼働率</t>
    <rPh sb="0" eb="2">
      <t>マンシツ</t>
    </rPh>
    <rPh sb="3" eb="5">
      <t>カドウ</t>
    </rPh>
    <rPh sb="5" eb="6">
      <t>リツ</t>
    </rPh>
    <phoneticPr fontId="4"/>
  </si>
  <si>
    <t>容積率</t>
    <rPh sb="0" eb="2">
      <t>ヨウセキ</t>
    </rPh>
    <rPh sb="2" eb="3">
      <t>リツ</t>
    </rPh>
    <phoneticPr fontId="4"/>
  </si>
  <si>
    <t>法定耐用年数</t>
    <rPh sb="0" eb="2">
      <t>ホウテイ</t>
    </rPh>
    <rPh sb="2" eb="4">
      <t>タイヨウ</t>
    </rPh>
    <rPh sb="4" eb="6">
      <t>ネンスウ</t>
    </rPh>
    <phoneticPr fontId="4"/>
  </si>
  <si>
    <t>管理費（家賃割合）</t>
    <rPh sb="0" eb="3">
      <t>カンリヒ</t>
    </rPh>
    <rPh sb="4" eb="6">
      <t>ヤチン</t>
    </rPh>
    <rPh sb="6" eb="8">
      <t>ワリアイ</t>
    </rPh>
    <phoneticPr fontId="4"/>
  </si>
  <si>
    <t>物件価格</t>
    <phoneticPr fontId="4"/>
  </si>
  <si>
    <t>残存耐用年数</t>
    <rPh sb="0" eb="2">
      <t>ザンゾン</t>
    </rPh>
    <rPh sb="2" eb="4">
      <t>タイヨウ</t>
    </rPh>
    <rPh sb="4" eb="6">
      <t>ネンスウ</t>
    </rPh>
    <phoneticPr fontId="4"/>
  </si>
  <si>
    <t>修繕費・設備費</t>
    <rPh sb="0" eb="2">
      <t>シュウゼン</t>
    </rPh>
    <rPh sb="4" eb="7">
      <t>セツビヒ</t>
    </rPh>
    <phoneticPr fontId="4"/>
  </si>
  <si>
    <t>水道光熱費</t>
    <rPh sb="0" eb="2">
      <t>スイドウ</t>
    </rPh>
    <rPh sb="2" eb="5">
      <t>コウネツヒ</t>
    </rPh>
    <phoneticPr fontId="4"/>
  </si>
  <si>
    <t>ファイナンス</t>
    <phoneticPr fontId="4"/>
  </si>
  <si>
    <t>火災・地震保険料</t>
    <rPh sb="0" eb="2">
      <t>カサイ</t>
    </rPh>
    <rPh sb="3" eb="5">
      <t>ジシン</t>
    </rPh>
    <rPh sb="5" eb="8">
      <t>ホケンリョウ</t>
    </rPh>
    <phoneticPr fontId="4"/>
  </si>
  <si>
    <t>積算価格</t>
    <rPh sb="0" eb="2">
      <t>セキサン</t>
    </rPh>
    <rPh sb="2" eb="4">
      <t>カカク</t>
    </rPh>
    <phoneticPr fontId="4"/>
  </si>
  <si>
    <t>土地面積</t>
    <phoneticPr fontId="4"/>
  </si>
  <si>
    <t>借入金</t>
    <rPh sb="0" eb="2">
      <t>カリイレ</t>
    </rPh>
    <rPh sb="2" eb="3">
      <t>キン</t>
    </rPh>
    <phoneticPr fontId="4"/>
  </si>
  <si>
    <t>受水槽・報知機等</t>
    <rPh sb="0" eb="1">
      <t>ジュ</t>
    </rPh>
    <rPh sb="1" eb="3">
      <t>スイソウ</t>
    </rPh>
    <rPh sb="4" eb="6">
      <t>ホウチ</t>
    </rPh>
    <rPh sb="6" eb="7">
      <t>キ</t>
    </rPh>
    <rPh sb="7" eb="8">
      <t>トウ</t>
    </rPh>
    <phoneticPr fontId="4"/>
  </si>
  <si>
    <t>路線価(単価)</t>
    <phoneticPr fontId="4"/>
  </si>
  <si>
    <t>返済期間</t>
    <rPh sb="0" eb="2">
      <t>ヘンサイ</t>
    </rPh>
    <rPh sb="2" eb="4">
      <t>キカン</t>
    </rPh>
    <phoneticPr fontId="4"/>
  </si>
  <si>
    <t>広告料</t>
    <phoneticPr fontId="4"/>
  </si>
  <si>
    <t>土地価格</t>
    <rPh sb="2" eb="4">
      <t>カカク</t>
    </rPh>
    <phoneticPr fontId="4"/>
  </si>
  <si>
    <t>返済方法（元利均等）</t>
    <rPh sb="0" eb="2">
      <t>ヘンサイ</t>
    </rPh>
    <rPh sb="2" eb="4">
      <t>ホウホウ</t>
    </rPh>
    <rPh sb="5" eb="9">
      <t>ガンリキントウ</t>
    </rPh>
    <phoneticPr fontId="4"/>
  </si>
  <si>
    <t>敷地外駐車場</t>
    <phoneticPr fontId="4"/>
  </si>
  <si>
    <t>建物延床面積</t>
    <rPh sb="1" eb="2">
      <t>モノ</t>
    </rPh>
    <rPh sb="3" eb="4">
      <t>ユカ</t>
    </rPh>
    <phoneticPr fontId="4"/>
  </si>
  <si>
    <t>金利/
返済額</t>
    <rPh sb="0" eb="2">
      <t>キンリ</t>
    </rPh>
    <rPh sb="4" eb="6">
      <t>ヘンサイ</t>
    </rPh>
    <rPh sb="6" eb="7">
      <t>ガク</t>
    </rPh>
    <phoneticPr fontId="4"/>
  </si>
  <si>
    <t>1-5年</t>
    <rPh sb="3" eb="4">
      <t>ネン</t>
    </rPh>
    <phoneticPr fontId="4"/>
  </si>
  <si>
    <t>固定資産税(土地)</t>
    <rPh sb="6" eb="8">
      <t>トチ</t>
    </rPh>
    <phoneticPr fontId="4"/>
  </si>
  <si>
    <t>建築費(単価)</t>
    <rPh sb="0" eb="3">
      <t>ケンチクヒ</t>
    </rPh>
    <phoneticPr fontId="4"/>
  </si>
  <si>
    <t>6-10年</t>
    <rPh sb="4" eb="5">
      <t>ネン</t>
    </rPh>
    <phoneticPr fontId="4"/>
  </si>
  <si>
    <t>固定資産税(家屋)</t>
    <rPh sb="0" eb="2">
      <t>コテイ</t>
    </rPh>
    <rPh sb="2" eb="5">
      <t>シサンゼイ</t>
    </rPh>
    <rPh sb="6" eb="8">
      <t>カオク</t>
    </rPh>
    <phoneticPr fontId="4"/>
  </si>
  <si>
    <t>遵法性チェック(判定)</t>
    <rPh sb="0" eb="2">
      <t>ジュンポウ</t>
    </rPh>
    <rPh sb="2" eb="3">
      <t>セイ</t>
    </rPh>
    <phoneticPr fontId="4"/>
  </si>
  <si>
    <t>その他費用</t>
    <rPh sb="2" eb="3">
      <t>タ</t>
    </rPh>
    <rPh sb="3" eb="5">
      <t>ヒヨウ</t>
    </rPh>
    <phoneticPr fontId="4"/>
  </si>
  <si>
    <t>建物価格</t>
    <rPh sb="0" eb="2">
      <t>タテモノ</t>
    </rPh>
    <rPh sb="2" eb="4">
      <t>カカク</t>
    </rPh>
    <phoneticPr fontId="4"/>
  </si>
  <si>
    <t>家賃収入・稼働率</t>
    <rPh sb="0" eb="2">
      <t>ヤチン</t>
    </rPh>
    <rPh sb="2" eb="4">
      <t>シュウニュウ</t>
    </rPh>
    <rPh sb="5" eb="7">
      <t>カドウ</t>
    </rPh>
    <rPh sb="7" eb="8">
      <t>リツ</t>
    </rPh>
    <phoneticPr fontId="4"/>
  </si>
  <si>
    <t>大規模修繕</t>
    <rPh sb="0" eb="3">
      <t>ダイキボ</t>
    </rPh>
    <rPh sb="3" eb="5">
      <t>シュウゼン</t>
    </rPh>
    <phoneticPr fontId="4"/>
  </si>
  <si>
    <t>(参考：解体費）</t>
    <rPh sb="1" eb="3">
      <t>サンコウ</t>
    </rPh>
    <rPh sb="4" eb="6">
      <t>カイタイ</t>
    </rPh>
    <rPh sb="6" eb="7">
      <t>ヒ</t>
    </rPh>
    <phoneticPr fontId="4"/>
  </si>
  <si>
    <t>家賃／年(満室)</t>
    <rPh sb="0" eb="2">
      <t>ヤチン</t>
    </rPh>
    <rPh sb="3" eb="4">
      <t>ネン</t>
    </rPh>
    <rPh sb="5" eb="7">
      <t>マンシツ</t>
    </rPh>
    <phoneticPr fontId="4"/>
  </si>
  <si>
    <t>税理士報酬</t>
    <rPh sb="0" eb="3">
      <t>ゼイリシ</t>
    </rPh>
    <rPh sb="3" eb="5">
      <t>ホウシュウ</t>
    </rPh>
    <phoneticPr fontId="4"/>
  </si>
  <si>
    <t>積算価格（土地+建物）</t>
    <rPh sb="0" eb="2">
      <t>セキサン</t>
    </rPh>
    <rPh sb="2" eb="4">
      <t>カカク</t>
    </rPh>
    <rPh sb="5" eb="7">
      <t>トチ</t>
    </rPh>
    <rPh sb="8" eb="10">
      <t>タテモノ</t>
    </rPh>
    <phoneticPr fontId="4"/>
  </si>
  <si>
    <t>想定稼働率</t>
    <rPh sb="2" eb="4">
      <t>カドウ</t>
    </rPh>
    <rPh sb="4" eb="5">
      <t>リツ</t>
    </rPh>
    <phoneticPr fontId="4"/>
  </si>
  <si>
    <t>支払金利</t>
    <rPh sb="0" eb="2">
      <t>シハライ</t>
    </rPh>
    <rPh sb="2" eb="4">
      <t>キンリ</t>
    </rPh>
    <phoneticPr fontId="4"/>
  </si>
  <si>
    <t>変動率</t>
    <rPh sb="0" eb="3">
      <t>ヘンドウリツ</t>
    </rPh>
    <phoneticPr fontId="4"/>
  </si>
  <si>
    <t>運営費用合計</t>
    <rPh sb="0" eb="2">
      <t>ウンエイ</t>
    </rPh>
    <rPh sb="2" eb="4">
      <t>ヒヨウ</t>
    </rPh>
    <rPh sb="4" eb="6">
      <t>ゴウケイ</t>
    </rPh>
    <phoneticPr fontId="4"/>
  </si>
  <si>
    <t>キャッシュフロー分析</t>
    <rPh sb="8" eb="10">
      <t>ブンセキ</t>
    </rPh>
    <phoneticPr fontId="4"/>
  </si>
  <si>
    <t>家賃収入(満室ベース)</t>
    <rPh sb="0" eb="2">
      <t>ヤチン</t>
    </rPh>
    <rPh sb="2" eb="4">
      <t>シュウニュウ</t>
    </rPh>
    <rPh sb="5" eb="7">
      <t>マンシツ</t>
    </rPh>
    <phoneticPr fontId="4"/>
  </si>
  <si>
    <t>表面利回り</t>
    <phoneticPr fontId="4"/>
  </si>
  <si>
    <t>減価償却</t>
    <rPh sb="0" eb="2">
      <t>ゲンカ</t>
    </rPh>
    <rPh sb="2" eb="4">
      <t>ショウキャク</t>
    </rPh>
    <phoneticPr fontId="4"/>
  </si>
  <si>
    <t>.</t>
    <phoneticPr fontId="4"/>
  </si>
  <si>
    <t>大規模修繕</t>
    <phoneticPr fontId="4"/>
  </si>
  <si>
    <t>営業利益</t>
    <rPh sb="0" eb="2">
      <t>エイギョウ</t>
    </rPh>
    <rPh sb="2" eb="4">
      <t>リエキ</t>
    </rPh>
    <phoneticPr fontId="4"/>
  </si>
  <si>
    <t>融資金額</t>
    <rPh sb="0" eb="2">
      <t>ユウシ</t>
    </rPh>
    <rPh sb="2" eb="4">
      <t>キンガク</t>
    </rPh>
    <phoneticPr fontId="4"/>
  </si>
  <si>
    <t>フルローン</t>
  </si>
  <si>
    <t>時期・金額</t>
    <rPh sb="0" eb="2">
      <t>ジキ</t>
    </rPh>
    <rPh sb="3" eb="5">
      <t>キンガク</t>
    </rPh>
    <phoneticPr fontId="4"/>
  </si>
  <si>
    <t>1回目</t>
    <rPh sb="1" eb="3">
      <t>カイメ</t>
    </rPh>
    <phoneticPr fontId="4"/>
  </si>
  <si>
    <t>税金</t>
    <rPh sb="0" eb="2">
      <t>ゼイキン</t>
    </rPh>
    <phoneticPr fontId="4"/>
  </si>
  <si>
    <t>通常時</t>
    <rPh sb="0" eb="2">
      <t>ツウジョウ</t>
    </rPh>
    <rPh sb="2" eb="3">
      <t>ジ</t>
    </rPh>
    <phoneticPr fontId="4"/>
  </si>
  <si>
    <t>貸出金利</t>
    <phoneticPr fontId="4"/>
  </si>
  <si>
    <t>純利益</t>
    <rPh sb="0" eb="3">
      <t>ジュンリエキ</t>
    </rPh>
    <phoneticPr fontId="4"/>
  </si>
  <si>
    <t>融資期間</t>
    <phoneticPr fontId="4"/>
  </si>
  <si>
    <t>2回目</t>
    <rPh sb="1" eb="3">
      <t>カイメ</t>
    </rPh>
    <phoneticPr fontId="4"/>
  </si>
  <si>
    <t>元金返済前ＣＦ</t>
    <rPh sb="0" eb="2">
      <t>ガンキン</t>
    </rPh>
    <rPh sb="2" eb="4">
      <t>ヘンサイ</t>
    </rPh>
    <rPh sb="4" eb="5">
      <t>マエ</t>
    </rPh>
    <phoneticPr fontId="4"/>
  </si>
  <si>
    <t>返済金額(判定)</t>
    <rPh sb="5" eb="7">
      <t>ハンテイ</t>
    </rPh>
    <phoneticPr fontId="4"/>
  </si>
  <si>
    <t>元金返済</t>
    <rPh sb="0" eb="2">
      <t>ガンキン</t>
    </rPh>
    <rPh sb="2" eb="4">
      <t>ヘンサイ</t>
    </rPh>
    <phoneticPr fontId="4"/>
  </si>
  <si>
    <t>フリーＣＦ</t>
    <phoneticPr fontId="4"/>
  </si>
  <si>
    <t>累積ＣＦ</t>
    <rPh sb="0" eb="2">
      <t>ルイセキ</t>
    </rPh>
    <phoneticPr fontId="4"/>
  </si>
  <si>
    <t>満室時CF</t>
    <phoneticPr fontId="4"/>
  </si>
  <si>
    <t>融資残高</t>
    <rPh sb="0" eb="2">
      <t>ユウシ</t>
    </rPh>
    <rPh sb="2" eb="4">
      <t>ザンダカ</t>
    </rPh>
    <phoneticPr fontId="4"/>
  </si>
  <si>
    <t>出資利回り</t>
    <phoneticPr fontId="4"/>
  </si>
  <si>
    <t>残債利回り(満室家賃/融資残高)</t>
    <rPh sb="0" eb="2">
      <t>ザンサイ</t>
    </rPh>
    <rPh sb="2" eb="4">
      <t>リマワ</t>
    </rPh>
    <rPh sb="8" eb="10">
      <t>ヤチン</t>
    </rPh>
    <rPh sb="11" eb="13">
      <t>ユウシ</t>
    </rPh>
    <phoneticPr fontId="4"/>
  </si>
  <si>
    <t>投資効率評価(per.1億円)</t>
    <rPh sb="0" eb="2">
      <t>トウシ</t>
    </rPh>
    <rPh sb="2" eb="4">
      <t>コウリツ</t>
    </rPh>
    <rPh sb="4" eb="6">
      <t>ヒョウカ</t>
    </rPh>
    <rPh sb="12" eb="14">
      <t>オクエン</t>
    </rPh>
    <phoneticPr fontId="4"/>
  </si>
  <si>
    <t>&lt;消費税還付&gt;</t>
    <rPh sb="1" eb="4">
      <t>ショウヒゼイ</t>
    </rPh>
    <rPh sb="4" eb="6">
      <t>カンプ</t>
    </rPh>
    <phoneticPr fontId="4"/>
  </si>
  <si>
    <t>上昇時</t>
    <rPh sb="0" eb="2">
      <t>ジョウショウ</t>
    </rPh>
    <rPh sb="2" eb="3">
      <t>トキ</t>
    </rPh>
    <phoneticPr fontId="4"/>
  </si>
  <si>
    <t>リスク金利</t>
    <phoneticPr fontId="4"/>
  </si>
  <si>
    <t>固定資産税評価額</t>
    <rPh sb="0" eb="2">
      <t>コテイ</t>
    </rPh>
    <rPh sb="2" eb="5">
      <t>シサンゼイ</t>
    </rPh>
    <rPh sb="5" eb="8">
      <t>ヒョウカガク</t>
    </rPh>
    <phoneticPr fontId="4"/>
  </si>
  <si>
    <t>割合</t>
    <rPh sb="0" eb="2">
      <t>ワリアイ</t>
    </rPh>
    <phoneticPr fontId="4"/>
  </si>
  <si>
    <t>按分額</t>
    <rPh sb="0" eb="2">
      <t>アンブン</t>
    </rPh>
    <rPh sb="2" eb="3">
      <t>ガク</t>
    </rPh>
    <phoneticPr fontId="4"/>
  </si>
  <si>
    <t>消費税還付額</t>
    <rPh sb="0" eb="3">
      <t>ショウヒゼイ</t>
    </rPh>
    <rPh sb="3" eb="5">
      <t>カンプ</t>
    </rPh>
    <rPh sb="5" eb="6">
      <t>ガク</t>
    </rPh>
    <phoneticPr fontId="4"/>
  </si>
  <si>
    <t>&lt;消費税還後利回り&gt;</t>
    <rPh sb="1" eb="4">
      <t>ショウヒゼイ</t>
    </rPh>
    <rPh sb="4" eb="5">
      <t>カン</t>
    </rPh>
    <rPh sb="5" eb="6">
      <t>ゴ</t>
    </rPh>
    <rPh sb="6" eb="8">
      <t>リマワ</t>
    </rPh>
    <phoneticPr fontId="4"/>
  </si>
  <si>
    <t>購入価格-還付額</t>
    <rPh sb="0" eb="2">
      <t>コウニュウ</t>
    </rPh>
    <rPh sb="2" eb="4">
      <t>カカク</t>
    </rPh>
    <rPh sb="5" eb="7">
      <t>カンプ</t>
    </rPh>
    <rPh sb="7" eb="8">
      <t>ガク</t>
    </rPh>
    <phoneticPr fontId="3"/>
  </si>
  <si>
    <t>還付後利回り</t>
    <rPh sb="0" eb="2">
      <t>カンプ</t>
    </rPh>
    <rPh sb="2" eb="3">
      <t>ゴ</t>
    </rPh>
    <rPh sb="3" eb="5">
      <t>リマワ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</si>
</sst>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176" formatCode="0.0%"/>
    <numFmt numFmtId="177" formatCode="yyyy&quot;年&quot;m&quot;月&quot;d&quot;日&quot;;@"/>
    <numFmt numFmtId="178" formatCode="#,##0&quot;年&quot;;[Red]\-#,##0&quot;年&quot;"/>
    <numFmt numFmtId="179" formatCode="@&quot;造&quot;"/>
    <numFmt numFmtId="180" formatCode="General&quot;年&quot;"/>
    <numFmt numFmtId="181" formatCode="#,##0&quot;千&quot;&quot;円&quot;;[Red]\-#,##0&quot;千&quot;&quot;円&quot;"/>
    <numFmt numFmtId="182" formatCode="[$-411]ggge&quot;年&quot;m&quot;月&quot;;@"/>
    <numFmt numFmtId="183" formatCode="yyyy&quot;年&quot;m&quot;月&quot;;@"/>
    <numFmt numFmtId="184" formatCode="&quot;建&quot;&quot;物&quot;&quot;価&quot;&quot;格&quot;\(0%\)"/>
    <numFmt numFmtId="185" formatCode="&quot;築&quot;#,##0&quot;年&quot;"/>
    <numFmt numFmtId="186" formatCode="\(&quot;残&quot;&quot;存&quot;General&quot;年&quot;\)"/>
    <numFmt numFmtId="187" formatCode="&quot;土&quot;&quot;地&quot;&quot;価&quot;&quot;格&quot;\(0%\)"/>
    <numFmt numFmtId="188" formatCode="&quot;(経&quot;&quot;費&quot;&quot;率&quot;0%\)"/>
    <numFmt numFmtId="189" formatCode="#,##0&quot;円(売値)&quot;"/>
    <numFmt numFmtId="190" formatCode="#,##0&quot;円(指値)&quot;"/>
    <numFmt numFmtId="191" formatCode="#,##0.00&quot;坪&quot;"/>
    <numFmt numFmtId="192" formatCode="#,##0.00&quot;㎡&quot;"/>
    <numFmt numFmtId="193" formatCode="&quot;@&quot;#,##0&quot;円/㎡&quot;"/>
    <numFmt numFmtId="194" formatCode="#,##0&quot;円&quot;"/>
    <numFmt numFmtId="195" formatCode="&quot;(使用容積率&quot;0%\)"/>
    <numFmt numFmtId="196" formatCode="&quot;@&quot;#,##0&quot;円/坪&quot;"/>
    <numFmt numFmtId="197" formatCode="\(#,##0&quot;円)&quot;"/>
    <numFmt numFmtId="198" formatCode="0&quot;年&quot;&quot;後&quot;"/>
    <numFmt numFmtId="199" formatCode="#,##0&quot;円/月&quot;"/>
    <numFmt numFmtId="200" formatCode="#,##0&quot;円/年&quot;"/>
    <numFmt numFmtId="201" formatCode="&quot;購&quot;&quot;入&quot;&quot;諸&quot;&quot;費&quot;&quot;用&quot;0%\(&quot;自&quot;&quot;己&quot;&quot;資&quot;&quot;金&quot;\)"/>
    <numFmt numFmtId="202" formatCode="#,##0&quot;年目&quot;;[Red]\-#,##0&quot;年&quot;"/>
    <numFmt numFmtId="203" formatCode="&quot;(税&quot;&quot;率)&quot;0%"/>
    <numFmt numFmtId="204" formatCode="0&quot;年（調整）&quot;"/>
    <numFmt numFmtId="205" formatCode="&quot;(返済比率&quot;0%\)"/>
    <numFmt numFmtId="206" formatCode="&quot;Stress &quot;0%&quot;&quot;&quot; 収&quot;&quot;入&quot;"/>
    <numFmt numFmtId="207" formatCode="&quot;稼働率&quot;0%&quot;と&quot;&quot;し&quot;&quot;て&quot;"/>
    <numFmt numFmtId="208" formatCode="&quot;経&quot;&quot;費&quot;&quot;率&quot;0%"/>
    <numFmt numFmtId="209" formatCode="&quot;Stress &quot;0%\ \C\F"/>
    <numFmt numFmtId="210" formatCode="#,##0;[Red]#,##0"/>
    <numFmt numFmtId="211" formatCode="\(&quot;土&quot;&quot;地&quot;\)#,##0&quot;千&quot;&quot;円&quot;"/>
    <numFmt numFmtId="212" formatCode="#,##0&quot;千円&quot;"/>
    <numFmt numFmtId="213" formatCode="\(&quot;建&quot;&quot;物&quot;\)#,##0&quot;千&quot;&quot;円&quot;"/>
    <numFmt numFmtId="214" formatCode="#,##0&quot;千&quot;&quot;円&quot;"/>
    <numFmt numFmtId="215" formatCode="&quot;税&quot;&quot;理&quot;&quot;士&quot;&quot;報&quot;&quot;酬&quot;\ 0%"/>
    <numFmt numFmtId="216" formatCode="\(&quot;手&quot;&quot;取&quot;&quot;り&quot;\)\ #,##0&quot;千&quot;&quot;円&quot;"/>
    <numFmt numFmtId="217" formatCode="0%&quot;(指値率)&quot;"/>
  </numFmts>
  <fonts count="1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2" fillId="0" borderId="1" xfId="1" applyFont="1" applyBorder="1" applyAlignment="1">
      <alignment vertical="center" justifyLastLine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176" fontId="5" fillId="3" borderId="3" xfId="2" applyNumberFormat="1" applyFont="1" applyFill="1" applyBorder="1" applyAlignment="1">
      <alignment horizontal="center" vertical="center" shrinkToFit="1"/>
    </xf>
    <xf numFmtId="0" fontId="5" fillId="0" borderId="0" xfId="3" applyFont="1" applyFill="1" applyAlignment="1">
      <alignment vertical="center" shrinkToFit="1"/>
    </xf>
    <xf numFmtId="0" fontId="5" fillId="2" borderId="7" xfId="3" applyFont="1" applyFill="1" applyBorder="1" applyAlignment="1">
      <alignment vertical="center" shrinkToFit="1"/>
    </xf>
    <xf numFmtId="0" fontId="5" fillId="2" borderId="8" xfId="3" applyFont="1" applyFill="1" applyBorder="1" applyAlignment="1">
      <alignment horizontal="center" vertical="center" shrinkToFit="1"/>
    </xf>
    <xf numFmtId="178" fontId="5" fillId="2" borderId="8" xfId="3" applyNumberFormat="1" applyFont="1" applyFill="1" applyBorder="1" applyAlignment="1">
      <alignment horizontal="center" vertical="center" shrinkToFit="1"/>
    </xf>
    <xf numFmtId="178" fontId="5" fillId="2" borderId="9" xfId="3" applyNumberFormat="1" applyFont="1" applyFill="1" applyBorder="1" applyAlignment="1">
      <alignment horizontal="center" vertical="center" shrinkToFit="1"/>
    </xf>
    <xf numFmtId="179" fontId="5" fillId="3" borderId="11" xfId="1" applyNumberFormat="1" applyFont="1" applyFill="1" applyBorder="1" applyAlignment="1">
      <alignment horizontal="center" vertical="center" shrinkToFit="1"/>
    </xf>
    <xf numFmtId="0" fontId="5" fillId="0" borderId="15" xfId="3" applyFont="1" applyBorder="1" applyAlignment="1">
      <alignment vertical="center" shrinkToFit="1"/>
    </xf>
    <xf numFmtId="38" fontId="5" fillId="0" borderId="16" xfId="4" applyFont="1" applyFill="1" applyBorder="1" applyAlignment="1">
      <alignment horizontal="right" vertical="center" shrinkToFit="1"/>
    </xf>
    <xf numFmtId="38" fontId="5" fillId="0" borderId="17" xfId="4" applyFont="1" applyFill="1" applyBorder="1" applyAlignment="1">
      <alignment horizontal="right" vertical="center" shrinkToFit="1"/>
    </xf>
    <xf numFmtId="182" fontId="5" fillId="0" borderId="11" xfId="1" applyNumberFormat="1" applyFont="1" applyBorder="1" applyAlignment="1">
      <alignment vertical="center" shrinkToFit="1"/>
    </xf>
    <xf numFmtId="0" fontId="5" fillId="0" borderId="20" xfId="3" applyFont="1" applyFill="1" applyBorder="1" applyAlignment="1">
      <alignment vertical="center" shrinkToFit="1"/>
    </xf>
    <xf numFmtId="38" fontId="5" fillId="0" borderId="21" xfId="4" applyFont="1" applyFill="1" applyBorder="1" applyAlignment="1">
      <alignment horizontal="right" vertical="center" shrinkToFit="1"/>
    </xf>
    <xf numFmtId="38" fontId="5" fillId="0" borderId="22" xfId="4" applyFont="1" applyFill="1" applyBorder="1" applyAlignment="1">
      <alignment horizontal="right" vertical="center" shrinkToFit="1"/>
    </xf>
    <xf numFmtId="185" fontId="5" fillId="0" borderId="11" xfId="1" applyNumberFormat="1" applyFont="1" applyFill="1" applyBorder="1" applyAlignment="1">
      <alignment horizontal="right" vertical="center" shrinkToFit="1"/>
    </xf>
    <xf numFmtId="9" fontId="5" fillId="0" borderId="0" xfId="2" applyFont="1" applyFill="1" applyAlignment="1">
      <alignment horizontal="left" vertical="center" shrinkToFit="1"/>
    </xf>
    <xf numFmtId="0" fontId="5" fillId="0" borderId="0" xfId="3" applyFont="1" applyAlignment="1">
      <alignment vertical="center" shrinkToFit="1"/>
    </xf>
    <xf numFmtId="188" fontId="5" fillId="0" borderId="25" xfId="5" applyNumberFormat="1" applyFont="1" applyBorder="1" applyAlignment="1">
      <alignment horizontal="right" vertical="center" shrinkToFit="1"/>
    </xf>
    <xf numFmtId="9" fontId="5" fillId="0" borderId="11" xfId="2" applyFont="1" applyFill="1" applyBorder="1" applyAlignment="1">
      <alignment horizontal="center" vertical="center" shrinkToFit="1"/>
    </xf>
    <xf numFmtId="0" fontId="5" fillId="0" borderId="7" xfId="3" applyFont="1" applyBorder="1" applyAlignment="1">
      <alignment vertical="center" shrinkToFit="1"/>
    </xf>
    <xf numFmtId="38" fontId="5" fillId="0" borderId="4" xfId="4" applyFont="1" applyBorder="1" applyAlignment="1">
      <alignment vertical="center" shrinkToFit="1"/>
    </xf>
    <xf numFmtId="38" fontId="5" fillId="0" borderId="9" xfId="4" applyFont="1" applyBorder="1" applyAlignment="1">
      <alignment vertical="center" shrinkToFit="1"/>
    </xf>
    <xf numFmtId="189" fontId="5" fillId="0" borderId="18" xfId="1" applyNumberFormat="1" applyFont="1" applyFill="1" applyBorder="1" applyAlignment="1">
      <alignment vertical="center" shrinkToFit="1"/>
    </xf>
    <xf numFmtId="181" fontId="5" fillId="3" borderId="16" xfId="3" applyNumberFormat="1" applyFont="1" applyFill="1" applyBorder="1" applyAlignment="1">
      <alignment vertical="center" shrinkToFit="1"/>
    </xf>
    <xf numFmtId="38" fontId="5" fillId="0" borderId="12" xfId="4" applyFont="1" applyFill="1" applyBorder="1" applyAlignment="1">
      <alignment vertical="center" shrinkToFit="1"/>
    </xf>
    <xf numFmtId="38" fontId="5" fillId="0" borderId="16" xfId="4" applyFont="1" applyBorder="1" applyAlignment="1">
      <alignment vertical="center" shrinkToFit="1"/>
    </xf>
    <xf numFmtId="38" fontId="5" fillId="0" borderId="17" xfId="4" applyFont="1" applyBorder="1" applyAlignment="1">
      <alignment vertical="center" shrinkToFit="1"/>
    </xf>
    <xf numFmtId="191" fontId="5" fillId="0" borderId="3" xfId="4" applyNumberFormat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6" xfId="3" applyFont="1" applyFill="1" applyBorder="1" applyAlignment="1">
      <alignment horizontal="center" vertical="center" shrinkToFit="1"/>
    </xf>
    <xf numFmtId="176" fontId="5" fillId="0" borderId="11" xfId="2" applyNumberFormat="1" applyFont="1" applyFill="1" applyBorder="1" applyAlignment="1">
      <alignment horizontal="center" vertical="center" shrinkToFit="1"/>
    </xf>
    <xf numFmtId="181" fontId="5" fillId="0" borderId="33" xfId="5" applyNumberFormat="1" applyFont="1" applyFill="1" applyBorder="1" applyAlignment="1">
      <alignment horizontal="right" vertical="center" shrinkToFit="1"/>
    </xf>
    <xf numFmtId="38" fontId="5" fillId="0" borderId="0" xfId="4" applyFont="1" applyFill="1" applyBorder="1" applyAlignment="1">
      <alignment horizontal="right" vertical="center" shrinkToFit="1"/>
    </xf>
    <xf numFmtId="0" fontId="5" fillId="0" borderId="21" xfId="3" applyFont="1" applyFill="1" applyBorder="1" applyAlignment="1">
      <alignment horizontal="center" vertical="center" shrinkToFit="1"/>
    </xf>
    <xf numFmtId="176" fontId="5" fillId="3" borderId="34" xfId="2" applyNumberFormat="1" applyFont="1" applyFill="1" applyBorder="1" applyAlignment="1">
      <alignment horizontal="center" vertical="center" shrinkToFit="1"/>
    </xf>
    <xf numFmtId="181" fontId="5" fillId="0" borderId="35" xfId="5" applyNumberFormat="1" applyFont="1" applyFill="1" applyBorder="1" applyAlignment="1">
      <alignment horizontal="right" vertical="center" shrinkToFit="1"/>
    </xf>
    <xf numFmtId="195" fontId="5" fillId="0" borderId="0" xfId="2" applyNumberFormat="1" applyFont="1" applyBorder="1" applyAlignment="1">
      <alignment horizontal="right" vertical="center" shrinkToFit="1"/>
    </xf>
    <xf numFmtId="0" fontId="1" fillId="0" borderId="0" xfId="1"/>
    <xf numFmtId="0" fontId="5" fillId="0" borderId="18" xfId="1" applyFont="1" applyBorder="1" applyAlignment="1">
      <alignment vertical="center" shrinkToFit="1"/>
    </xf>
    <xf numFmtId="181" fontId="5" fillId="0" borderId="16" xfId="3" applyNumberFormat="1" applyFont="1" applyFill="1" applyBorder="1" applyAlignment="1">
      <alignment vertical="center" shrinkToFit="1"/>
    </xf>
    <xf numFmtId="38" fontId="5" fillId="0" borderId="12" xfId="4" applyFont="1" applyBorder="1" applyAlignment="1">
      <alignment vertical="center" shrinkToFit="1"/>
    </xf>
    <xf numFmtId="38" fontId="5" fillId="0" borderId="14" xfId="4" applyFont="1" applyBorder="1" applyAlignment="1">
      <alignment vertical="center" shrinkToFit="1"/>
    </xf>
    <xf numFmtId="196" fontId="5" fillId="0" borderId="23" xfId="1" applyNumberFormat="1" applyFont="1" applyFill="1" applyBorder="1" applyAlignment="1">
      <alignment vertical="center" shrinkToFit="1"/>
    </xf>
    <xf numFmtId="0" fontId="5" fillId="4" borderId="34" xfId="1" applyFont="1" applyFill="1" applyBorder="1" applyAlignment="1">
      <alignment vertical="center" shrinkToFit="1"/>
    </xf>
    <xf numFmtId="0" fontId="5" fillId="0" borderId="41" xfId="3" applyFont="1" applyBorder="1" applyAlignment="1">
      <alignment vertical="center" shrinkToFit="1"/>
    </xf>
    <xf numFmtId="0" fontId="5" fillId="0" borderId="42" xfId="3" applyFont="1" applyBorder="1" applyAlignment="1">
      <alignment vertical="center" shrinkToFit="1"/>
    </xf>
    <xf numFmtId="38" fontId="5" fillId="0" borderId="43" xfId="4" applyFont="1" applyBorder="1" applyAlignment="1">
      <alignment vertical="center" shrinkToFit="1"/>
    </xf>
    <xf numFmtId="38" fontId="5" fillId="0" borderId="44" xfId="4" applyFont="1" applyBorder="1" applyAlignment="1">
      <alignment vertical="center" shrinkToFit="1"/>
    </xf>
    <xf numFmtId="176" fontId="5" fillId="0" borderId="0" xfId="2" applyNumberFormat="1" applyFont="1" applyAlignment="1">
      <alignment vertical="center"/>
    </xf>
    <xf numFmtId="38" fontId="5" fillId="0" borderId="0" xfId="4" applyFont="1" applyAlignment="1">
      <alignment horizontal="right" vertical="center"/>
    </xf>
    <xf numFmtId="38" fontId="5" fillId="0" borderId="0" xfId="4" applyFont="1" applyAlignment="1">
      <alignment vertical="center"/>
    </xf>
    <xf numFmtId="0" fontId="5" fillId="0" borderId="28" xfId="3" applyFont="1" applyBorder="1" applyAlignment="1">
      <alignment vertical="center" shrinkToFit="1"/>
    </xf>
    <xf numFmtId="0" fontId="5" fillId="0" borderId="45" xfId="3" applyFont="1" applyBorder="1" applyAlignment="1">
      <alignment vertical="center" shrinkToFit="1"/>
    </xf>
    <xf numFmtId="38" fontId="5" fillId="0" borderId="45" xfId="4" applyFont="1" applyBorder="1" applyAlignment="1">
      <alignment vertical="center" shrinkToFit="1"/>
    </xf>
    <xf numFmtId="38" fontId="5" fillId="0" borderId="46" xfId="4" applyFont="1" applyBorder="1" applyAlignment="1">
      <alignment vertical="center" shrinkToFit="1"/>
    </xf>
    <xf numFmtId="199" fontId="5" fillId="3" borderId="5" xfId="1" applyNumberFormat="1" applyFont="1" applyFill="1" applyBorder="1" applyAlignment="1">
      <alignment vertical="center" wrapText="1" shrinkToFit="1"/>
    </xf>
    <xf numFmtId="38" fontId="5" fillId="0" borderId="0" xfId="4" applyFont="1" applyAlignment="1">
      <alignment vertical="center" shrinkToFit="1"/>
    </xf>
    <xf numFmtId="0" fontId="5" fillId="4" borderId="11" xfId="1" applyFont="1" applyFill="1" applyBorder="1" applyAlignment="1">
      <alignment vertical="center" shrinkToFit="1"/>
    </xf>
    <xf numFmtId="0" fontId="5" fillId="0" borderId="8" xfId="3" applyFont="1" applyBorder="1" applyAlignment="1">
      <alignment vertical="center" shrinkToFit="1"/>
    </xf>
    <xf numFmtId="38" fontId="5" fillId="0" borderId="8" xfId="4" applyFont="1" applyBorder="1" applyAlignment="1">
      <alignment vertical="center" shrinkToFit="1"/>
    </xf>
    <xf numFmtId="0" fontId="5" fillId="4" borderId="20" xfId="3" applyFont="1" applyFill="1" applyBorder="1" applyAlignment="1">
      <alignment vertical="center" shrinkToFit="1"/>
    </xf>
    <xf numFmtId="0" fontId="5" fillId="4" borderId="21" xfId="3" applyFont="1" applyFill="1" applyBorder="1" applyAlignment="1">
      <alignment vertical="center" shrinkToFit="1"/>
    </xf>
    <xf numFmtId="38" fontId="5" fillId="4" borderId="21" xfId="4" applyFont="1" applyFill="1" applyBorder="1" applyAlignment="1">
      <alignment vertical="center" shrinkToFit="1"/>
    </xf>
    <xf numFmtId="38" fontId="5" fillId="4" borderId="22" xfId="4" applyFont="1" applyFill="1" applyBorder="1" applyAlignment="1">
      <alignment vertical="center" shrinkToFit="1"/>
    </xf>
    <xf numFmtId="0" fontId="5" fillId="3" borderId="11" xfId="1" applyFont="1" applyFill="1" applyBorder="1" applyAlignment="1">
      <alignment horizontal="center" vertical="center" shrinkToFit="1"/>
    </xf>
    <xf numFmtId="203" fontId="5" fillId="3" borderId="8" xfId="2" applyNumberFormat="1" applyFont="1" applyFill="1" applyBorder="1" applyAlignment="1">
      <alignment horizontal="center" vertical="center" shrinkToFit="1"/>
    </xf>
    <xf numFmtId="0" fontId="5" fillId="0" borderId="16" xfId="1" applyFont="1" applyBorder="1" applyAlignment="1">
      <alignment horizontal="left" vertical="center" justifyLastLine="1" shrinkToFit="1"/>
    </xf>
    <xf numFmtId="0" fontId="5" fillId="0" borderId="11" xfId="1" applyFont="1" applyBorder="1" applyAlignment="1">
      <alignment horizontal="left" vertical="center" justifyLastLine="1" shrinkToFit="1"/>
    </xf>
    <xf numFmtId="204" fontId="5" fillId="3" borderId="11" xfId="1" applyNumberFormat="1" applyFont="1" applyFill="1" applyBorder="1" applyAlignment="1">
      <alignment vertical="center" shrinkToFit="1"/>
    </xf>
    <xf numFmtId="205" fontId="5" fillId="0" borderId="23" xfId="2" applyNumberFormat="1" applyFont="1" applyBorder="1" applyAlignment="1">
      <alignment horizontal="right" vertical="center" shrinkToFit="1"/>
    </xf>
    <xf numFmtId="205" fontId="2" fillId="0" borderId="36" xfId="2" applyNumberFormat="1" applyFont="1" applyBorder="1" applyAlignment="1">
      <alignment horizontal="center" vertical="center" shrinkToFit="1"/>
    </xf>
    <xf numFmtId="194" fontId="5" fillId="0" borderId="37" xfId="1" applyNumberFormat="1" applyFont="1" applyFill="1" applyBorder="1" applyAlignment="1">
      <alignment vertical="center" shrinkToFit="1"/>
    </xf>
    <xf numFmtId="0" fontId="5" fillId="0" borderId="16" xfId="3" applyFont="1" applyBorder="1" applyAlignment="1">
      <alignment vertical="center" shrinkToFit="1"/>
    </xf>
    <xf numFmtId="206" fontId="5" fillId="3" borderId="16" xfId="2" applyNumberFormat="1" applyFont="1" applyFill="1" applyBorder="1" applyAlignment="1">
      <alignment horizontal="left" vertical="center" justifyLastLine="1" shrinkToFit="1"/>
    </xf>
    <xf numFmtId="207" fontId="5" fillId="0" borderId="23" xfId="2" applyNumberFormat="1" applyFont="1" applyBorder="1" applyAlignment="1">
      <alignment horizontal="right" vertical="center" shrinkToFit="1"/>
    </xf>
    <xf numFmtId="0" fontId="5" fillId="0" borderId="15" xfId="3" applyFont="1" applyFill="1" applyBorder="1" applyAlignment="1">
      <alignment vertical="center" shrinkToFit="1"/>
    </xf>
    <xf numFmtId="0" fontId="5" fillId="0" borderId="16" xfId="3" applyFont="1" applyFill="1" applyBorder="1" applyAlignment="1">
      <alignment vertical="center" shrinkToFit="1"/>
    </xf>
    <xf numFmtId="38" fontId="5" fillId="0" borderId="16" xfId="4" applyFont="1" applyFill="1" applyBorder="1" applyAlignment="1">
      <alignment vertical="center" shrinkToFit="1"/>
    </xf>
    <xf numFmtId="38" fontId="5" fillId="0" borderId="17" xfId="4" applyFont="1" applyFill="1" applyBorder="1" applyAlignment="1">
      <alignment vertical="center" shrinkToFit="1"/>
    </xf>
    <xf numFmtId="208" fontId="5" fillId="3" borderId="16" xfId="2" applyNumberFormat="1" applyFont="1" applyFill="1" applyBorder="1" applyAlignment="1">
      <alignment horizontal="left" vertical="center" justifyLastLine="1" shrinkToFit="1"/>
    </xf>
    <xf numFmtId="38" fontId="5" fillId="0" borderId="0" xfId="4" applyFont="1" applyFill="1" applyAlignment="1">
      <alignment vertical="center" shrinkToFit="1"/>
    </xf>
    <xf numFmtId="209" fontId="5" fillId="4" borderId="16" xfId="2" applyNumberFormat="1" applyFont="1" applyFill="1" applyBorder="1" applyAlignment="1">
      <alignment horizontal="left" vertical="center" justifyLastLine="1" shrinkToFit="1"/>
    </xf>
    <xf numFmtId="0" fontId="5" fillId="4" borderId="13" xfId="1" applyFont="1" applyFill="1" applyBorder="1" applyAlignment="1">
      <alignment vertical="center" shrinkToFit="1"/>
    </xf>
    <xf numFmtId="194" fontId="2" fillId="4" borderId="14" xfId="1" applyNumberFormat="1" applyFont="1" applyFill="1" applyBorder="1" applyAlignment="1">
      <alignment vertical="center" shrinkToFit="1"/>
    </xf>
    <xf numFmtId="38" fontId="5" fillId="2" borderId="8" xfId="4" applyFont="1" applyFill="1" applyBorder="1" applyAlignment="1">
      <alignment vertical="center" shrinkToFit="1"/>
    </xf>
    <xf numFmtId="210" fontId="5" fillId="2" borderId="8" xfId="4" applyNumberFormat="1" applyFont="1" applyFill="1" applyBorder="1" applyAlignment="1">
      <alignment vertical="center" shrinkToFit="1"/>
    </xf>
    <xf numFmtId="210" fontId="5" fillId="2" borderId="9" xfId="4" applyNumberFormat="1" applyFont="1" applyFill="1" applyBorder="1" applyAlignment="1">
      <alignment vertical="center" shrinkToFit="1"/>
    </xf>
    <xf numFmtId="176" fontId="5" fillId="0" borderId="21" xfId="3" applyNumberFormat="1" applyFont="1" applyBorder="1" applyAlignment="1">
      <alignment vertical="center" shrinkToFit="1"/>
    </xf>
    <xf numFmtId="176" fontId="5" fillId="0" borderId="22" xfId="3" applyNumberFormat="1" applyFont="1" applyBorder="1" applyAlignment="1">
      <alignment vertical="center" shrinkToFit="1"/>
    </xf>
    <xf numFmtId="194" fontId="2" fillId="4" borderId="11" xfId="1" applyNumberFormat="1" applyFont="1" applyFill="1" applyBorder="1" applyAlignment="1">
      <alignment vertical="center" shrinkToFit="1"/>
    </xf>
    <xf numFmtId="0" fontId="5" fillId="0" borderId="0" xfId="1" applyFont="1" applyAlignment="1">
      <alignment horizontal="left" vertical="center"/>
    </xf>
    <xf numFmtId="0" fontId="5" fillId="0" borderId="49" xfId="1" applyFont="1" applyBorder="1" applyAlignment="1">
      <alignment horizontal="left" vertical="center" justifyLastLine="1" shrinkToFit="1"/>
    </xf>
    <xf numFmtId="0" fontId="5" fillId="0" borderId="23" xfId="1" applyFont="1" applyBorder="1" applyAlignment="1">
      <alignment vertical="center" shrinkToFit="1"/>
    </xf>
    <xf numFmtId="194" fontId="5" fillId="0" borderId="14" xfId="1" applyNumberFormat="1" applyFont="1" applyFill="1" applyBorder="1" applyAlignment="1">
      <alignment vertical="center" shrinkToFit="1"/>
    </xf>
    <xf numFmtId="9" fontId="5" fillId="0" borderId="16" xfId="2" applyFont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left" vertical="center" justifyLastLine="1" shrinkToFit="1"/>
    </xf>
    <xf numFmtId="0" fontId="7" fillId="0" borderId="0" xfId="1" applyFont="1" applyAlignment="1">
      <alignment vertical="center"/>
    </xf>
    <xf numFmtId="9" fontId="5" fillId="0" borderId="43" xfId="2" applyFont="1" applyBorder="1" applyAlignment="1">
      <alignment horizontal="center" vertical="center"/>
    </xf>
    <xf numFmtId="209" fontId="5" fillId="0" borderId="21" xfId="2" applyNumberFormat="1" applyFont="1" applyFill="1" applyBorder="1" applyAlignment="1">
      <alignment horizontal="left" vertical="center" justifyLastLine="1" shrinkToFit="1"/>
    </xf>
    <xf numFmtId="207" fontId="5" fillId="0" borderId="29" xfId="2" applyNumberFormat="1" applyFont="1" applyBorder="1" applyAlignment="1">
      <alignment horizontal="right" vertical="center" shrinkToFit="1"/>
    </xf>
    <xf numFmtId="0" fontId="8" fillId="0" borderId="0" xfId="1" applyFont="1" applyAlignment="1">
      <alignment vertical="center"/>
    </xf>
    <xf numFmtId="211" fontId="5" fillId="0" borderId="0" xfId="1" applyNumberFormat="1" applyFont="1" applyAlignment="1">
      <alignment vertical="center"/>
    </xf>
    <xf numFmtId="198" fontId="5" fillId="0" borderId="16" xfId="3" applyNumberFormat="1" applyFont="1" applyFill="1" applyBorder="1" applyAlignment="1">
      <alignment horizontal="center" vertical="center" shrinkToFit="1"/>
    </xf>
    <xf numFmtId="198" fontId="5" fillId="0" borderId="21" xfId="3" applyNumberFormat="1" applyFont="1" applyFill="1" applyBorder="1" applyAlignment="1">
      <alignment horizontal="center" vertical="center" shrinkToFit="1"/>
    </xf>
    <xf numFmtId="176" fontId="5" fillId="3" borderId="8" xfId="5" applyNumberFormat="1" applyFont="1" applyFill="1" applyBorder="1" applyAlignment="1">
      <alignment horizontal="center" vertical="center" shrinkToFit="1"/>
    </xf>
    <xf numFmtId="38" fontId="5" fillId="2" borderId="8" xfId="4" applyFont="1" applyFill="1" applyBorder="1" applyAlignment="1">
      <alignment horizontal="center" vertical="center"/>
    </xf>
    <xf numFmtId="38" fontId="5" fillId="2" borderId="9" xfId="4" applyFont="1" applyFill="1" applyBorder="1" applyAlignment="1">
      <alignment horizontal="center" vertical="center"/>
    </xf>
    <xf numFmtId="0" fontId="7" fillId="0" borderId="17" xfId="1" applyFont="1" applyBorder="1" applyAlignment="1">
      <alignment vertical="center"/>
    </xf>
    <xf numFmtId="214" fontId="5" fillId="0" borderId="44" xfId="4" applyNumberFormat="1" applyFont="1" applyBorder="1" applyAlignment="1">
      <alignment vertical="center"/>
    </xf>
    <xf numFmtId="38" fontId="5" fillId="0" borderId="14" xfId="4" applyFont="1" applyFill="1" applyBorder="1" applyAlignment="1">
      <alignment vertical="center" shrinkToFit="1"/>
    </xf>
    <xf numFmtId="217" fontId="5" fillId="3" borderId="1" xfId="2" applyNumberFormat="1" applyFont="1" applyFill="1" applyBorder="1" applyAlignment="1">
      <alignment horizontal="center" vertical="center" shrinkToFit="1"/>
    </xf>
    <xf numFmtId="216" fontId="2" fillId="4" borderId="46" xfId="4" applyNumberFormat="1" applyFont="1" applyFill="1" applyBorder="1" applyAlignment="1">
      <alignment vertical="center" shrinkToFit="1"/>
    </xf>
    <xf numFmtId="0" fontId="2" fillId="0" borderId="1" xfId="1" applyFont="1" applyBorder="1" applyAlignment="1">
      <alignment horizontal="distributed" vertical="center" justifyLastLine="1"/>
    </xf>
    <xf numFmtId="0" fontId="5" fillId="2" borderId="2" xfId="1" applyFont="1" applyFill="1" applyBorder="1" applyAlignment="1">
      <alignment horizontal="distributed" vertical="center" textRotation="255"/>
    </xf>
    <xf numFmtId="0" fontId="5" fillId="2" borderId="10" xfId="1" applyFont="1" applyFill="1" applyBorder="1" applyAlignment="1">
      <alignment horizontal="distributed" vertical="center" textRotation="255"/>
    </xf>
    <xf numFmtId="0" fontId="5" fillId="2" borderId="28" xfId="1" applyFont="1" applyFill="1" applyBorder="1" applyAlignment="1">
      <alignment horizontal="distributed" vertical="center" textRotation="255"/>
    </xf>
    <xf numFmtId="0" fontId="5" fillId="0" borderId="3" xfId="1" applyFont="1" applyBorder="1" applyAlignment="1">
      <alignment horizontal="left" vertical="center" justifyLastLine="1" shrinkToFit="1"/>
    </xf>
    <xf numFmtId="0" fontId="5" fillId="0" borderId="4" xfId="1" applyFont="1" applyBorder="1" applyAlignment="1">
      <alignment horizontal="left" vertical="center" justifyLastLine="1" shrinkToFit="1"/>
    </xf>
    <xf numFmtId="177" fontId="5" fillId="3" borderId="5" xfId="1" applyNumberFormat="1" applyFont="1" applyFill="1" applyBorder="1" applyAlignment="1">
      <alignment horizontal="right" vertical="center" shrinkToFit="1"/>
    </xf>
    <xf numFmtId="177" fontId="5" fillId="3" borderId="6" xfId="1" applyNumberFormat="1" applyFont="1" applyFill="1" applyBorder="1" applyAlignment="1">
      <alignment horizontal="right" vertical="center" shrinkToFi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 justifyLastLine="1" shrinkToFit="1"/>
    </xf>
    <xf numFmtId="0" fontId="5" fillId="0" borderId="12" xfId="1" applyFont="1" applyBorder="1" applyAlignment="1">
      <alignment horizontal="left" vertical="center" justifyLastLine="1" shrinkToFit="1"/>
    </xf>
    <xf numFmtId="180" fontId="5" fillId="0" borderId="13" xfId="1" applyNumberFormat="1" applyFont="1" applyFill="1" applyBorder="1" applyAlignment="1">
      <alignment horizontal="center" vertical="center" shrinkToFit="1"/>
    </xf>
    <xf numFmtId="180" fontId="5" fillId="0" borderId="14" xfId="1" applyNumberFormat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left" vertical="center" shrinkToFit="1"/>
    </xf>
    <xf numFmtId="0" fontId="5" fillId="0" borderId="16" xfId="1" applyFont="1" applyBorder="1" applyAlignment="1">
      <alignment horizontal="left" vertical="center" shrinkToFit="1"/>
    </xf>
    <xf numFmtId="181" fontId="5" fillId="0" borderId="16" xfId="3" applyNumberFormat="1" applyFont="1" applyFill="1" applyBorder="1" applyAlignment="1">
      <alignment horizontal="right" vertical="center" shrinkToFit="1"/>
    </xf>
    <xf numFmtId="181" fontId="5" fillId="0" borderId="17" xfId="3" applyNumberFormat="1" applyFont="1" applyFill="1" applyBorder="1" applyAlignment="1">
      <alignment horizontal="right" vertical="center" shrinkToFit="1"/>
    </xf>
    <xf numFmtId="0" fontId="5" fillId="0" borderId="18" xfId="1" applyFont="1" applyBorder="1" applyAlignment="1">
      <alignment horizontal="left" vertical="center" justifyLastLine="1" shrinkToFit="1"/>
    </xf>
    <xf numFmtId="0" fontId="5" fillId="0" borderId="19" xfId="1" applyFont="1" applyBorder="1" applyAlignment="1">
      <alignment horizontal="left" vertical="center" justifyLastLine="1" shrinkToFit="1"/>
    </xf>
    <xf numFmtId="0" fontId="5" fillId="0" borderId="23" xfId="1" applyFont="1" applyBorder="1" applyAlignment="1">
      <alignment horizontal="left" vertical="center" justifyLastLine="1" shrinkToFit="1"/>
    </xf>
    <xf numFmtId="0" fontId="5" fillId="0" borderId="24" xfId="1" applyFont="1" applyBorder="1" applyAlignment="1">
      <alignment horizontal="left" vertical="center" justifyLastLine="1" shrinkToFit="1"/>
    </xf>
    <xf numFmtId="183" fontId="5" fillId="3" borderId="13" xfId="1" applyNumberFormat="1" applyFont="1" applyFill="1" applyBorder="1" applyAlignment="1">
      <alignment horizontal="right" vertical="center" shrinkToFit="1"/>
    </xf>
    <xf numFmtId="183" fontId="5" fillId="3" borderId="14" xfId="1" applyNumberFormat="1" applyFont="1" applyFill="1" applyBorder="1" applyAlignment="1">
      <alignment horizontal="right" vertical="center" shrinkToFit="1"/>
    </xf>
    <xf numFmtId="184" fontId="5" fillId="0" borderId="15" xfId="2" applyNumberFormat="1" applyFont="1" applyFill="1" applyBorder="1" applyAlignment="1">
      <alignment horizontal="left" vertical="center" shrinkToFit="1"/>
    </xf>
    <xf numFmtId="184" fontId="5" fillId="0" borderId="16" xfId="2" applyNumberFormat="1" applyFont="1" applyFill="1" applyBorder="1" applyAlignment="1">
      <alignment horizontal="left" vertical="center" shrinkToFit="1"/>
    </xf>
    <xf numFmtId="186" fontId="5" fillId="0" borderId="13" xfId="1" applyNumberFormat="1" applyFont="1" applyFill="1" applyBorder="1" applyAlignment="1">
      <alignment horizontal="right" vertical="center" shrinkToFit="1"/>
    </xf>
    <xf numFmtId="186" fontId="5" fillId="0" borderId="14" xfId="1" applyNumberFormat="1" applyFont="1" applyFill="1" applyBorder="1" applyAlignment="1">
      <alignment horizontal="right" vertical="center" shrinkToFit="1"/>
    </xf>
    <xf numFmtId="187" fontId="5" fillId="0" borderId="15" xfId="2" applyNumberFormat="1" applyFont="1" applyFill="1" applyBorder="1" applyAlignment="1">
      <alignment horizontal="left" vertical="center" shrinkToFit="1"/>
    </xf>
    <xf numFmtId="187" fontId="5" fillId="0" borderId="16" xfId="2" applyNumberFormat="1" applyFont="1" applyFill="1" applyBorder="1" applyAlignment="1">
      <alignment horizontal="left" vertical="center" shrinkToFit="1"/>
    </xf>
    <xf numFmtId="9" fontId="5" fillId="3" borderId="13" xfId="2" applyFont="1" applyFill="1" applyBorder="1" applyAlignment="1">
      <alignment horizontal="center" vertical="center" shrinkToFit="1"/>
    </xf>
    <xf numFmtId="9" fontId="5" fillId="3" borderId="14" xfId="2" applyFont="1" applyFill="1" applyBorder="1" applyAlignment="1">
      <alignment horizontal="center" vertical="center" shrinkToFit="1"/>
    </xf>
    <xf numFmtId="0" fontId="5" fillId="0" borderId="15" xfId="3" applyFont="1" applyFill="1" applyBorder="1" applyAlignment="1">
      <alignment horizontal="left" vertical="center" shrinkToFit="1"/>
    </xf>
    <xf numFmtId="0" fontId="5" fillId="0" borderId="16" xfId="3" applyFont="1" applyFill="1" applyBorder="1" applyAlignment="1">
      <alignment horizontal="left" vertical="center" shrinkToFit="1"/>
    </xf>
    <xf numFmtId="178" fontId="5" fillId="0" borderId="16" xfId="3" applyNumberFormat="1" applyFont="1" applyFill="1" applyBorder="1" applyAlignment="1">
      <alignment horizontal="center" vertical="center" shrinkToFit="1"/>
    </xf>
    <xf numFmtId="178" fontId="5" fillId="0" borderId="17" xfId="3" applyNumberFormat="1" applyFont="1" applyFill="1" applyBorder="1" applyAlignment="1">
      <alignment horizontal="center" vertical="center" shrinkToFit="1"/>
    </xf>
    <xf numFmtId="0" fontId="5" fillId="0" borderId="29" xfId="1" applyFont="1" applyBorder="1" applyAlignment="1">
      <alignment horizontal="left" vertical="center" justifyLastLine="1" shrinkToFit="1"/>
    </xf>
    <xf numFmtId="0" fontId="5" fillId="0" borderId="30" xfId="1" applyFont="1" applyBorder="1" applyAlignment="1">
      <alignment horizontal="left" vertical="center" justifyLastLine="1" shrinkToFit="1"/>
    </xf>
    <xf numFmtId="189" fontId="5" fillId="3" borderId="26" xfId="1" applyNumberFormat="1" applyFont="1" applyFill="1" applyBorder="1" applyAlignment="1">
      <alignment horizontal="right" vertical="center" shrinkToFit="1"/>
    </xf>
    <xf numFmtId="189" fontId="5" fillId="3" borderId="27" xfId="1" applyNumberFormat="1" applyFont="1" applyFill="1" applyBorder="1" applyAlignment="1">
      <alignment horizontal="right" vertical="center" shrinkToFit="1"/>
    </xf>
    <xf numFmtId="0" fontId="5" fillId="0" borderId="20" xfId="3" applyFont="1" applyFill="1" applyBorder="1" applyAlignment="1">
      <alignment horizontal="left" vertical="center" shrinkToFit="1"/>
    </xf>
    <xf numFmtId="0" fontId="5" fillId="0" borderId="21" xfId="3" applyFont="1" applyFill="1" applyBorder="1" applyAlignment="1">
      <alignment horizontal="left" vertical="center" shrinkToFit="1"/>
    </xf>
    <xf numFmtId="178" fontId="5" fillId="0" borderId="21" xfId="3" applyNumberFormat="1" applyFont="1" applyFill="1" applyBorder="1" applyAlignment="1">
      <alignment horizontal="center" vertical="center" shrinkToFit="1"/>
    </xf>
    <xf numFmtId="178" fontId="5" fillId="0" borderId="22" xfId="3" applyNumberFormat="1" applyFont="1" applyFill="1" applyBorder="1" applyAlignment="1">
      <alignment horizontal="center" vertical="center" shrinkToFit="1"/>
    </xf>
    <xf numFmtId="190" fontId="2" fillId="0" borderId="1" xfId="1" applyNumberFormat="1" applyFont="1" applyFill="1" applyBorder="1" applyAlignment="1">
      <alignment horizontal="right" vertical="center" shrinkToFit="1"/>
    </xf>
    <xf numFmtId="190" fontId="2" fillId="0" borderId="31" xfId="1" applyNumberFormat="1" applyFont="1" applyFill="1" applyBorder="1" applyAlignment="1">
      <alignment horizontal="right" vertical="center" shrinkToFit="1"/>
    </xf>
    <xf numFmtId="0" fontId="5" fillId="2" borderId="7" xfId="1" applyFont="1" applyFill="1" applyBorder="1" applyAlignment="1">
      <alignment horizontal="distributed" vertical="center" textRotation="255"/>
    </xf>
    <xf numFmtId="0" fontId="5" fillId="2" borderId="15" xfId="1" applyFont="1" applyFill="1" applyBorder="1" applyAlignment="1">
      <alignment horizontal="distributed" vertical="center" textRotation="255"/>
    </xf>
    <xf numFmtId="0" fontId="5" fillId="2" borderId="20" xfId="1" applyFont="1" applyFill="1" applyBorder="1" applyAlignment="1">
      <alignment horizontal="distributed" vertical="center" textRotation="255"/>
    </xf>
    <xf numFmtId="192" fontId="5" fillId="3" borderId="5" xfId="1" applyNumberFormat="1" applyFont="1" applyFill="1" applyBorder="1" applyAlignment="1">
      <alignment horizontal="right" vertical="center" shrinkToFit="1"/>
    </xf>
    <xf numFmtId="192" fontId="5" fillId="3" borderId="6" xfId="1" applyNumberFormat="1" applyFont="1" applyFill="1" applyBorder="1" applyAlignment="1">
      <alignment horizontal="right" vertical="center" shrinkToFit="1"/>
    </xf>
    <xf numFmtId="0" fontId="12" fillId="0" borderId="11" xfId="7" applyFont="1" applyBorder="1" applyAlignment="1">
      <alignment horizontal="left" vertical="center" justifyLastLine="1" shrinkToFit="1"/>
    </xf>
    <xf numFmtId="0" fontId="12" fillId="0" borderId="12" xfId="7" applyFont="1" applyBorder="1" applyAlignment="1">
      <alignment horizontal="left" vertical="center" justifyLastLine="1" shrinkToFit="1"/>
    </xf>
    <xf numFmtId="193" fontId="5" fillId="3" borderId="13" xfId="1" applyNumberFormat="1" applyFont="1" applyFill="1" applyBorder="1" applyAlignment="1">
      <alignment horizontal="right" vertical="center" shrinkToFit="1"/>
    </xf>
    <xf numFmtId="193" fontId="5" fillId="3" borderId="14" xfId="1" applyNumberFormat="1" applyFont="1" applyFill="1" applyBorder="1" applyAlignment="1">
      <alignment horizontal="right" vertical="center" shrinkToFit="1"/>
    </xf>
    <xf numFmtId="0" fontId="5" fillId="0" borderId="23" xfId="1" applyFont="1" applyFill="1" applyBorder="1" applyAlignment="1">
      <alignment horizontal="right" vertical="center" justifyLastLine="1" shrinkToFit="1"/>
    </xf>
    <xf numFmtId="0" fontId="5" fillId="0" borderId="24" xfId="1" applyFont="1" applyFill="1" applyBorder="1" applyAlignment="1">
      <alignment horizontal="right" vertical="center" justifyLastLine="1" shrinkToFit="1"/>
    </xf>
    <xf numFmtId="197" fontId="5" fillId="0" borderId="36" xfId="1" applyNumberFormat="1" applyFont="1" applyFill="1" applyBorder="1" applyAlignment="1">
      <alignment horizontal="right" vertical="center" shrinkToFit="1"/>
    </xf>
    <xf numFmtId="197" fontId="5" fillId="0" borderId="37" xfId="1" applyNumberFormat="1" applyFont="1" applyFill="1" applyBorder="1" applyAlignment="1">
      <alignment horizontal="right" vertical="center" shrinkToFit="1"/>
    </xf>
    <xf numFmtId="194" fontId="5" fillId="0" borderId="13" xfId="1" applyNumberFormat="1" applyFont="1" applyFill="1" applyBorder="1" applyAlignment="1">
      <alignment horizontal="right" vertical="center" shrinkToFit="1"/>
    </xf>
    <xf numFmtId="194" fontId="5" fillId="0" borderId="14" xfId="1" applyNumberFormat="1" applyFont="1" applyFill="1" applyBorder="1" applyAlignment="1">
      <alignment horizontal="right" vertical="center" shrinkToFit="1"/>
    </xf>
    <xf numFmtId="0" fontId="5" fillId="3" borderId="16" xfId="3" applyFont="1" applyFill="1" applyBorder="1" applyAlignment="1">
      <alignment horizontal="center" vertical="center" shrinkToFit="1"/>
    </xf>
    <xf numFmtId="0" fontId="5" fillId="3" borderId="17" xfId="3" applyFont="1" applyFill="1" applyBorder="1" applyAlignment="1">
      <alignment horizontal="center" vertical="center" shrinkToFit="1"/>
    </xf>
    <xf numFmtId="192" fontId="5" fillId="3" borderId="13" xfId="1" applyNumberFormat="1" applyFont="1" applyFill="1" applyBorder="1" applyAlignment="1">
      <alignment horizontal="right" vertical="center" shrinkToFit="1"/>
    </xf>
    <xf numFmtId="192" fontId="5" fillId="3" borderId="14" xfId="1" applyNumberFormat="1" applyFont="1" applyFill="1" applyBorder="1" applyAlignment="1">
      <alignment horizontal="right" vertical="center" shrinkToFit="1"/>
    </xf>
    <xf numFmtId="0" fontId="5" fillId="0" borderId="3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/>
    </xf>
    <xf numFmtId="193" fontId="5" fillId="0" borderId="13" xfId="1" applyNumberFormat="1" applyFont="1" applyFill="1" applyBorder="1" applyAlignment="1">
      <alignment horizontal="right" vertical="center" shrinkToFit="1"/>
    </xf>
    <xf numFmtId="193" fontId="5" fillId="0" borderId="14" xfId="1" applyNumberFormat="1" applyFont="1" applyFill="1" applyBorder="1" applyAlignment="1">
      <alignment horizontal="right" vertical="center" shrinkToFit="1"/>
    </xf>
    <xf numFmtId="192" fontId="2" fillId="0" borderId="13" xfId="1" applyNumberFormat="1" applyFont="1" applyFill="1" applyBorder="1" applyAlignment="1">
      <alignment horizontal="center" vertical="center" shrinkToFit="1"/>
    </xf>
    <xf numFmtId="192" fontId="2" fillId="0" borderId="14" xfId="1" applyNumberFormat="1" applyFont="1" applyFill="1" applyBorder="1" applyAlignment="1">
      <alignment horizontal="center" vertical="center" shrinkToFit="1"/>
    </xf>
    <xf numFmtId="194" fontId="5" fillId="0" borderId="26" xfId="1" applyNumberFormat="1" applyFont="1" applyFill="1" applyBorder="1" applyAlignment="1">
      <alignment horizontal="right" vertical="center" shrinkToFit="1"/>
    </xf>
    <xf numFmtId="194" fontId="5" fillId="0" borderId="27" xfId="1" applyNumberFormat="1" applyFont="1" applyFill="1" applyBorder="1" applyAlignment="1">
      <alignment horizontal="right" vertical="center" shrinkToFit="1"/>
    </xf>
    <xf numFmtId="0" fontId="5" fillId="4" borderId="34" xfId="1" applyFont="1" applyFill="1" applyBorder="1" applyAlignment="1">
      <alignment horizontal="left" vertical="center" justifyLastLine="1" shrinkToFit="1"/>
    </xf>
    <xf numFmtId="0" fontId="5" fillId="4" borderId="38" xfId="1" applyFont="1" applyFill="1" applyBorder="1" applyAlignment="1">
      <alignment horizontal="left" vertical="center" justifyLastLine="1" shrinkToFit="1"/>
    </xf>
    <xf numFmtId="194" fontId="2" fillId="4" borderId="39" xfId="1" applyNumberFormat="1" applyFont="1" applyFill="1" applyBorder="1" applyAlignment="1">
      <alignment horizontal="right" vertical="center" shrinkToFit="1"/>
    </xf>
    <xf numFmtId="194" fontId="2" fillId="4" borderId="40" xfId="1" applyNumberFormat="1" applyFont="1" applyFill="1" applyBorder="1" applyAlignment="1">
      <alignment horizontal="right" vertical="center" shrinkToFit="1"/>
    </xf>
    <xf numFmtId="9" fontId="5" fillId="0" borderId="16" xfId="5" applyFont="1" applyFill="1" applyBorder="1" applyAlignment="1">
      <alignment horizontal="center" vertical="center" shrinkToFit="1"/>
    </xf>
    <xf numFmtId="9" fontId="5" fillId="0" borderId="17" xfId="5" applyFont="1" applyFill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textRotation="255" shrinkToFit="1"/>
    </xf>
    <xf numFmtId="0" fontId="5" fillId="0" borderId="28" xfId="1" applyFont="1" applyBorder="1" applyAlignment="1">
      <alignment horizontal="center" vertical="center" textRotation="255" shrinkToFit="1"/>
    </xf>
    <xf numFmtId="9" fontId="5" fillId="3" borderId="16" xfId="5" applyNumberFormat="1" applyFont="1" applyFill="1" applyBorder="1" applyAlignment="1">
      <alignment horizontal="center" vertical="center" shrinkToFit="1"/>
    </xf>
    <xf numFmtId="9" fontId="5" fillId="3" borderId="17" xfId="5" applyNumberFormat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textRotation="255"/>
    </xf>
    <xf numFmtId="0" fontId="5" fillId="2" borderId="10" xfId="1" applyFont="1" applyFill="1" applyBorder="1" applyAlignment="1">
      <alignment horizontal="center" vertical="center" textRotation="255"/>
    </xf>
    <xf numFmtId="0" fontId="5" fillId="2" borderId="28" xfId="1" applyFont="1" applyFill="1" applyBorder="1" applyAlignment="1">
      <alignment horizontal="center" vertical="center" textRotation="255"/>
    </xf>
    <xf numFmtId="200" fontId="5" fillId="0" borderId="5" xfId="1" applyNumberFormat="1" applyFont="1" applyFill="1" applyBorder="1" applyAlignment="1">
      <alignment horizontal="right" vertical="center" shrinkToFit="1"/>
    </xf>
    <xf numFmtId="200" fontId="5" fillId="0" borderId="6" xfId="1" applyNumberFormat="1" applyFont="1" applyFill="1" applyBorder="1" applyAlignment="1">
      <alignment horizontal="right" vertical="center" shrinkToFit="1"/>
    </xf>
    <xf numFmtId="9" fontId="5" fillId="3" borderId="21" xfId="5" applyNumberFormat="1" applyFont="1" applyFill="1" applyBorder="1" applyAlignment="1">
      <alignment horizontal="center" vertical="center" shrinkToFit="1"/>
    </xf>
    <xf numFmtId="9" fontId="5" fillId="3" borderId="22" xfId="5" applyNumberFormat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left" vertical="center" justifyLastLine="1" shrinkToFit="1"/>
    </xf>
    <xf numFmtId="0" fontId="5" fillId="4" borderId="12" xfId="1" applyFont="1" applyFill="1" applyBorder="1" applyAlignment="1">
      <alignment horizontal="left" vertical="center" justifyLastLine="1" shrinkToFit="1"/>
    </xf>
    <xf numFmtId="176" fontId="2" fillId="4" borderId="13" xfId="2" applyNumberFormat="1" applyFont="1" applyFill="1" applyBorder="1" applyAlignment="1">
      <alignment horizontal="right" vertical="center" shrinkToFit="1"/>
    </xf>
    <xf numFmtId="176" fontId="2" fillId="4" borderId="14" xfId="2" applyNumberFormat="1" applyFont="1" applyFill="1" applyBorder="1" applyAlignment="1">
      <alignment horizontal="right" vertical="center" shrinkToFit="1"/>
    </xf>
    <xf numFmtId="201" fontId="5" fillId="3" borderId="11" xfId="2" applyNumberFormat="1" applyFont="1" applyFill="1" applyBorder="1" applyAlignment="1">
      <alignment horizontal="left" vertical="center" justifyLastLine="1" shrinkToFit="1"/>
    </xf>
    <xf numFmtId="201" fontId="5" fillId="3" borderId="12" xfId="2" applyNumberFormat="1" applyFont="1" applyFill="1" applyBorder="1" applyAlignment="1">
      <alignment horizontal="left" vertical="center" justifyLastLine="1" shrinkToFit="1"/>
    </xf>
    <xf numFmtId="0" fontId="5" fillId="0" borderId="32" xfId="3" applyFont="1" applyFill="1" applyBorder="1" applyAlignment="1">
      <alignment horizontal="center" vertical="center" textRotation="255" wrapText="1" shrinkToFit="1"/>
    </xf>
    <xf numFmtId="0" fontId="5" fillId="0" borderId="10" xfId="3" applyFont="1" applyFill="1" applyBorder="1" applyAlignment="1">
      <alignment horizontal="center" vertical="center" textRotation="255" wrapText="1" shrinkToFit="1"/>
    </xf>
    <xf numFmtId="0" fontId="5" fillId="0" borderId="28" xfId="3" applyFont="1" applyFill="1" applyBorder="1" applyAlignment="1">
      <alignment horizontal="center" vertical="center" textRotation="255" wrapText="1" shrinkToFit="1"/>
    </xf>
    <xf numFmtId="0" fontId="5" fillId="0" borderId="16" xfId="3" applyFont="1" applyFill="1" applyBorder="1" applyAlignment="1">
      <alignment horizontal="center" vertical="center" shrinkToFit="1"/>
    </xf>
    <xf numFmtId="202" fontId="5" fillId="3" borderId="16" xfId="3" applyNumberFormat="1" applyFont="1" applyFill="1" applyBorder="1" applyAlignment="1">
      <alignment horizontal="center" vertical="center" shrinkToFit="1"/>
    </xf>
    <xf numFmtId="202" fontId="5" fillId="3" borderId="17" xfId="3" applyNumberFormat="1" applyFont="1" applyFill="1" applyBorder="1" applyAlignment="1">
      <alignment horizontal="center" vertical="center" shrinkToFit="1"/>
    </xf>
    <xf numFmtId="0" fontId="5" fillId="0" borderId="47" xfId="1" applyFont="1" applyBorder="1" applyAlignment="1">
      <alignment horizontal="distributed" vertical="center" textRotation="255" justifyLastLine="1" shrinkToFit="1"/>
    </xf>
    <xf numFmtId="0" fontId="5" fillId="0" borderId="48" xfId="1" applyFont="1" applyBorder="1" applyAlignment="1">
      <alignment horizontal="distributed" vertical="center" textRotation="255" justifyLastLine="1" shrinkToFit="1"/>
    </xf>
    <xf numFmtId="0" fontId="5" fillId="0" borderId="49" xfId="1" applyFont="1" applyBorder="1" applyAlignment="1">
      <alignment horizontal="distributed" vertical="center" textRotation="255" justifyLastLine="1" shrinkToFit="1"/>
    </xf>
    <xf numFmtId="176" fontId="5" fillId="3" borderId="13" xfId="2" applyNumberFormat="1" applyFont="1" applyFill="1" applyBorder="1" applyAlignment="1">
      <alignment horizontal="center" vertical="center" shrinkToFit="1"/>
    </xf>
    <xf numFmtId="176" fontId="5" fillId="3" borderId="14" xfId="2" applyNumberFormat="1" applyFont="1" applyFill="1" applyBorder="1" applyAlignment="1">
      <alignment horizontal="center" vertical="center" shrinkToFit="1"/>
    </xf>
    <xf numFmtId="181" fontId="5" fillId="3" borderId="11" xfId="3" applyNumberFormat="1" applyFont="1" applyFill="1" applyBorder="1" applyAlignment="1">
      <alignment horizontal="right" vertical="center" shrinkToFit="1"/>
    </xf>
    <xf numFmtId="181" fontId="5" fillId="3" borderId="14" xfId="3" applyNumberFormat="1" applyFont="1" applyFill="1" applyBorder="1" applyAlignment="1">
      <alignment horizontal="right" vertical="center" shrinkToFit="1"/>
    </xf>
    <xf numFmtId="180" fontId="5" fillId="0" borderId="13" xfId="1" applyNumberFormat="1" applyFont="1" applyFill="1" applyBorder="1" applyAlignment="1">
      <alignment horizontal="right" vertical="center" shrinkToFit="1"/>
    </xf>
    <xf numFmtId="180" fontId="5" fillId="0" borderId="14" xfId="1" applyNumberFormat="1" applyFont="1" applyFill="1" applyBorder="1" applyAlignment="1">
      <alignment horizontal="right" vertical="center" shrinkToFit="1"/>
    </xf>
    <xf numFmtId="0" fontId="5" fillId="0" borderId="21" xfId="3" applyFont="1" applyFill="1" applyBorder="1" applyAlignment="1">
      <alignment horizontal="center" vertical="center" shrinkToFit="1"/>
    </xf>
    <xf numFmtId="181" fontId="5" fillId="3" borderId="34" xfId="3" applyNumberFormat="1" applyFont="1" applyFill="1" applyBorder="1" applyAlignment="1">
      <alignment horizontal="right" vertical="center" shrinkToFit="1"/>
    </xf>
    <xf numFmtId="181" fontId="5" fillId="3" borderId="40" xfId="3" applyNumberFormat="1" applyFont="1" applyFill="1" applyBorder="1" applyAlignment="1">
      <alignment horizontal="right" vertical="center" shrinkToFit="1"/>
    </xf>
    <xf numFmtId="194" fontId="5" fillId="0" borderId="13" xfId="1" applyNumberFormat="1" applyFont="1" applyBorder="1" applyAlignment="1">
      <alignment horizontal="right" vertical="center" shrinkToFit="1"/>
    </xf>
    <xf numFmtId="194" fontId="5" fillId="0" borderId="14" xfId="1" applyNumberFormat="1" applyFont="1" applyBorder="1" applyAlignment="1">
      <alignment horizontal="right" vertical="center" shrinkToFit="1"/>
    </xf>
    <xf numFmtId="176" fontId="5" fillId="0" borderId="13" xfId="2" applyNumberFormat="1" applyFont="1" applyBorder="1" applyAlignment="1">
      <alignment horizontal="center" vertical="center" shrinkToFit="1"/>
    </xf>
    <xf numFmtId="176" fontId="5" fillId="0" borderId="14" xfId="2" applyNumberFormat="1" applyFont="1" applyBorder="1" applyAlignment="1">
      <alignment horizontal="center" vertical="center" shrinkToFit="1"/>
    </xf>
    <xf numFmtId="0" fontId="2" fillId="4" borderId="13" xfId="1" applyNumberFormat="1" applyFont="1" applyFill="1" applyBorder="1" applyAlignment="1">
      <alignment horizontal="center" vertical="center" shrinkToFit="1"/>
    </xf>
    <xf numFmtId="0" fontId="2" fillId="4" borderId="14" xfId="1" applyNumberFormat="1" applyFont="1" applyFill="1" applyBorder="1" applyAlignment="1">
      <alignment horizontal="center" vertical="center" shrinkToFit="1"/>
    </xf>
    <xf numFmtId="38" fontId="5" fillId="2" borderId="7" xfId="4" applyFont="1" applyFill="1" applyBorder="1" applyAlignment="1">
      <alignment horizontal="center" vertical="center"/>
    </xf>
    <xf numFmtId="38" fontId="5" fillId="2" borderId="8" xfId="4" applyFont="1" applyFill="1" applyBorder="1" applyAlignment="1">
      <alignment horizontal="center" vertical="center"/>
    </xf>
    <xf numFmtId="194" fontId="5" fillId="0" borderId="20" xfId="1" applyNumberFormat="1" applyFont="1" applyFill="1" applyBorder="1" applyAlignment="1">
      <alignment horizontal="right" vertical="center" shrinkToFit="1"/>
    </xf>
    <xf numFmtId="194" fontId="5" fillId="0" borderId="21" xfId="1" applyNumberFormat="1" applyFont="1" applyFill="1" applyBorder="1" applyAlignment="1">
      <alignment horizontal="right" vertical="center" shrinkToFit="1"/>
    </xf>
    <xf numFmtId="38" fontId="5" fillId="2" borderId="9" xfId="4" applyFont="1" applyFill="1" applyBorder="1" applyAlignment="1">
      <alignment horizontal="center" vertical="center"/>
    </xf>
    <xf numFmtId="176" fontId="2" fillId="4" borderId="21" xfId="6" applyNumberFormat="1" applyFont="1" applyFill="1" applyBorder="1" applyAlignment="1">
      <alignment horizontal="right" vertical="center" shrinkToFit="1"/>
    </xf>
    <xf numFmtId="176" fontId="2" fillId="4" borderId="22" xfId="6" applyNumberFormat="1" applyFont="1" applyFill="1" applyBorder="1" applyAlignment="1">
      <alignment horizontal="right" vertical="center" shrinkToFit="1"/>
    </xf>
    <xf numFmtId="0" fontId="5" fillId="0" borderId="50" xfId="3" applyFont="1" applyBorder="1" applyAlignment="1">
      <alignment horizontal="right" vertical="center" shrinkToFit="1"/>
    </xf>
    <xf numFmtId="0" fontId="5" fillId="0" borderId="38" xfId="3" applyFont="1" applyBorder="1" applyAlignment="1">
      <alignment horizontal="right" vertical="center" shrinkToFit="1"/>
    </xf>
    <xf numFmtId="212" fontId="5" fillId="0" borderId="16" xfId="1" applyNumberFormat="1" applyFont="1" applyBorder="1" applyAlignment="1">
      <alignment horizontal="right" vertical="center" shrinkToFit="1"/>
    </xf>
    <xf numFmtId="0" fontId="5" fillId="0" borderId="45" xfId="1" applyFont="1" applyBorder="1" applyAlignment="1">
      <alignment horizontal="distributed" vertical="center" textRotation="255" justifyLastLine="1" shrinkToFit="1"/>
    </xf>
    <xf numFmtId="176" fontId="5" fillId="3" borderId="36" xfId="2" applyNumberFormat="1" applyFont="1" applyFill="1" applyBorder="1" applyAlignment="1">
      <alignment horizontal="center" vertical="center" shrinkToFit="1"/>
    </xf>
    <xf numFmtId="176" fontId="5" fillId="3" borderId="37" xfId="2" applyNumberFormat="1" applyFont="1" applyFill="1" applyBorder="1" applyAlignment="1">
      <alignment horizontal="center" vertical="center" shrinkToFit="1"/>
    </xf>
    <xf numFmtId="211" fontId="5" fillId="3" borderId="15" xfId="3" applyNumberFormat="1" applyFont="1" applyFill="1" applyBorder="1" applyAlignment="1">
      <alignment horizontal="right" vertical="center" shrinkToFit="1"/>
    </xf>
    <xf numFmtId="211" fontId="5" fillId="3" borderId="16" xfId="3" applyNumberFormat="1" applyFont="1" applyFill="1" applyBorder="1" applyAlignment="1">
      <alignment horizontal="right" vertical="center" shrinkToFit="1"/>
    </xf>
    <xf numFmtId="213" fontId="5" fillId="3" borderId="41" xfId="3" applyNumberFormat="1" applyFont="1" applyFill="1" applyBorder="1" applyAlignment="1">
      <alignment horizontal="right" vertical="center" shrinkToFit="1"/>
    </xf>
    <xf numFmtId="213" fontId="5" fillId="3" borderId="43" xfId="3" applyNumberFormat="1" applyFont="1" applyFill="1" applyBorder="1" applyAlignment="1">
      <alignment horizontal="right" vertical="center" shrinkToFit="1"/>
    </xf>
    <xf numFmtId="212" fontId="5" fillId="0" borderId="43" xfId="1" applyNumberFormat="1" applyFont="1" applyBorder="1" applyAlignment="1">
      <alignment horizontal="right" vertical="center" shrinkToFit="1"/>
    </xf>
    <xf numFmtId="194" fontId="5" fillId="0" borderId="39" xfId="1" applyNumberFormat="1" applyFont="1" applyBorder="1" applyAlignment="1">
      <alignment horizontal="right" vertical="center" shrinkToFit="1"/>
    </xf>
    <xf numFmtId="194" fontId="5" fillId="0" borderId="40" xfId="1" applyNumberFormat="1" applyFont="1" applyBorder="1" applyAlignment="1">
      <alignment horizontal="right" vertical="center" shrinkToFit="1"/>
    </xf>
    <xf numFmtId="215" fontId="5" fillId="3" borderId="28" xfId="2" applyNumberFormat="1" applyFont="1" applyFill="1" applyBorder="1" applyAlignment="1">
      <alignment horizontal="center" vertical="center" shrinkToFit="1"/>
    </xf>
    <xf numFmtId="215" fontId="5" fillId="3" borderId="45" xfId="2" applyNumberFormat="1" applyFont="1" applyFill="1" applyBorder="1" applyAlignment="1">
      <alignment horizontal="center" vertical="center" shrinkToFit="1"/>
    </xf>
  </cellXfs>
  <cellStyles count="8">
    <cellStyle name="パーセント" xfId="6" builtinId="5"/>
    <cellStyle name="パーセント 2" xfId="2"/>
    <cellStyle name="パーセント 2 2" xfId="5"/>
    <cellStyle name="ハイパーリンク" xfId="7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0000FF"/>
      <color rgb="FFFF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179294</xdr:colOff>
      <xdr:row>0</xdr:row>
      <xdr:rowOff>97114</xdr:rowOff>
    </xdr:from>
    <xdr:ext cx="10555941" cy="58271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B49ADFE1-61E1-4204-8799-D98881C77E3B}"/>
            </a:ext>
          </a:extLst>
        </xdr:cNvPr>
        <xdr:cNvSpPr txBox="1"/>
      </xdr:nvSpPr>
      <xdr:spPr>
        <a:xfrm>
          <a:off x="179294" y="97114"/>
          <a:ext cx="10555941" cy="582710"/>
        </a:xfrm>
        <a:prstGeom prst="rect">
          <a:avLst/>
        </a:prstGeom>
        <a:solidFill>
          <a:srgbClr val="FFFFCC"/>
        </a:solidFill>
        <a:ln w="25400">
          <a:solidFill>
            <a:srgbClr val="FF0000">
              <a:alpha val="9000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0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lang="ja-JP" altLang="en-US" sz="10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使用方法</a:t>
          </a:r>
          <a:r>
            <a:rPr lang="en-US" altLang="ja-JP" sz="10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</a:p>
        <a:p>
          <a:r>
            <a:rPr lang="ja-JP" altLang="en-US" sz="10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黄色のハイライト部分に任意の数字・金額等を入力、またはプルダウンメニューで選択するだけです。コメントマーク（セルの右上隅にある赤い三角形）もご参照ください。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enka.nta.go.jp/index.ht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Y42"/>
  <sheetViews>
    <sheetView showGridLines="0" tabSelected="1" zoomScale="85" zoomScaleNormal="85" zoomScaleSheetLayoutView="100" workbookViewId="0">
      <selection activeCell="D36" sqref="D36"/>
    </sheetView>
  </sheetViews>
  <sheetFormatPr defaultColWidth="8.25" defaultRowHeight="22.35" customHeight="1"/>
  <cols>
    <col min="1" max="1" width="2.75" style="3" customWidth="1"/>
    <col min="2" max="2" width="4" style="3" customWidth="1"/>
    <col min="3" max="3" width="6.375" style="3" customWidth="1"/>
    <col min="4" max="4" width="16" style="2" bestFit="1" customWidth="1"/>
    <col min="5" max="5" width="17.375" style="3" bestFit="1" customWidth="1"/>
    <col min="6" max="6" width="3.5" style="3" bestFit="1" customWidth="1"/>
    <col min="7" max="7" width="14.5" style="3" customWidth="1"/>
    <col min="8" max="8" width="3.625" style="3" customWidth="1"/>
    <col min="9" max="9" width="7.75" style="3" bestFit="1" customWidth="1"/>
    <col min="10" max="10" width="6.875" style="3" bestFit="1" customWidth="1"/>
    <col min="11" max="11" width="7" style="3" bestFit="1" customWidth="1"/>
    <col min="12" max="12" width="8.25" style="3"/>
    <col min="13" max="13" width="3.625" style="3" customWidth="1"/>
    <col min="14" max="14" width="16.375" style="3" bestFit="1" customWidth="1"/>
    <col min="15" max="25" width="7.625" style="3" customWidth="1"/>
    <col min="26" max="16384" width="8.25" style="3"/>
  </cols>
  <sheetData>
    <row r="4" spans="2:25" ht="22.35" customHeight="1" thickBot="1">
      <c r="B4" s="117" t="s">
        <v>0</v>
      </c>
      <c r="C4" s="117"/>
      <c r="D4" s="117"/>
      <c r="E4" s="117"/>
      <c r="F4" s="1"/>
      <c r="G4" s="1"/>
      <c r="H4" s="2"/>
      <c r="Y4" s="4" t="s">
        <v>1</v>
      </c>
    </row>
    <row r="5" spans="2:25" ht="22.35" customHeight="1">
      <c r="B5" s="118" t="s">
        <v>2</v>
      </c>
      <c r="C5" s="121" t="s">
        <v>3</v>
      </c>
      <c r="D5" s="122"/>
      <c r="E5" s="5" t="s">
        <v>4</v>
      </c>
      <c r="F5" s="123">
        <v>41579</v>
      </c>
      <c r="G5" s="124"/>
      <c r="I5" s="125" t="s">
        <v>5</v>
      </c>
      <c r="J5" s="126"/>
      <c r="K5" s="126"/>
      <c r="L5" s="127"/>
      <c r="M5" s="6"/>
      <c r="N5" s="7"/>
      <c r="O5" s="8" t="s">
        <v>6</v>
      </c>
      <c r="P5" s="9">
        <v>1</v>
      </c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9">
        <v>9</v>
      </c>
      <c r="Y5" s="10">
        <v>10</v>
      </c>
    </row>
    <row r="6" spans="2:25" ht="22.35" customHeight="1">
      <c r="B6" s="119"/>
      <c r="C6" s="128" t="s">
        <v>7</v>
      </c>
      <c r="D6" s="129"/>
      <c r="E6" s="11" t="s">
        <v>8</v>
      </c>
      <c r="F6" s="130">
        <f>IF(E6="rc/src",47,34)</f>
        <v>47</v>
      </c>
      <c r="G6" s="131"/>
      <c r="I6" s="132" t="s">
        <v>9</v>
      </c>
      <c r="J6" s="133"/>
      <c r="K6" s="134">
        <f>F11/1000</f>
        <v>56000</v>
      </c>
      <c r="L6" s="135"/>
      <c r="M6" s="6"/>
      <c r="N6" s="12" t="s">
        <v>10</v>
      </c>
      <c r="O6" s="13">
        <f>K20</f>
        <v>7872</v>
      </c>
      <c r="P6" s="13">
        <f>(O6*9+T6*1)/10</f>
        <v>7832.6399999999994</v>
      </c>
      <c r="Q6" s="13">
        <f>(O6*8+T6*2)/10</f>
        <v>7793.2800000000007</v>
      </c>
      <c r="R6" s="13">
        <f>(O6*7+T6*3)/10</f>
        <v>7753.92</v>
      </c>
      <c r="S6" s="13">
        <f>(O6*6+T6*4)/10</f>
        <v>7714.56</v>
      </c>
      <c r="T6" s="13">
        <f>$K$20*(1+$K$22)</f>
        <v>7478.4</v>
      </c>
      <c r="U6" s="13">
        <f>(O6*4+Y6*6)/10</f>
        <v>7399.68</v>
      </c>
      <c r="V6" s="13">
        <f>(O6*3+Y6*7)/10</f>
        <v>7320.9600000000009</v>
      </c>
      <c r="W6" s="13">
        <f>(O6*2+Y6*8)/10</f>
        <v>7242.24</v>
      </c>
      <c r="X6" s="13">
        <f>(O6*1+Y6*9)/10</f>
        <v>7163.5200000000013</v>
      </c>
      <c r="Y6" s="14">
        <f>$K$20*(1+$K$23)</f>
        <v>7084.8</v>
      </c>
    </row>
    <row r="7" spans="2:25" ht="22.35" customHeight="1" thickBot="1">
      <c r="B7" s="119"/>
      <c r="C7" s="136" t="s">
        <v>11</v>
      </c>
      <c r="D7" s="137"/>
      <c r="E7" s="15">
        <f>F7</f>
        <v>32905</v>
      </c>
      <c r="F7" s="140">
        <v>32905</v>
      </c>
      <c r="G7" s="141"/>
      <c r="I7" s="142">
        <f>K38</f>
        <v>0.75</v>
      </c>
      <c r="J7" s="143"/>
      <c r="K7" s="134">
        <f>ROUND(K6*I7,0)</f>
        <v>42000</v>
      </c>
      <c r="L7" s="135"/>
      <c r="N7" s="16" t="s">
        <v>12</v>
      </c>
      <c r="O7" s="17">
        <f t="shared" ref="O7:Y7" si="0">O6*$K$21</f>
        <v>7084.8</v>
      </c>
      <c r="P7" s="17">
        <f t="shared" si="0"/>
        <v>7049.3759999999993</v>
      </c>
      <c r="Q7" s="17">
        <f t="shared" si="0"/>
        <v>7013.9520000000011</v>
      </c>
      <c r="R7" s="17">
        <f t="shared" si="0"/>
        <v>6978.5280000000002</v>
      </c>
      <c r="S7" s="17">
        <f t="shared" si="0"/>
        <v>6943.1040000000003</v>
      </c>
      <c r="T7" s="17">
        <f t="shared" si="0"/>
        <v>6730.5599999999995</v>
      </c>
      <c r="U7" s="17">
        <f t="shared" si="0"/>
        <v>6659.7120000000004</v>
      </c>
      <c r="V7" s="17">
        <f t="shared" si="0"/>
        <v>6588.8640000000014</v>
      </c>
      <c r="W7" s="17">
        <f t="shared" si="0"/>
        <v>6518.0159999999996</v>
      </c>
      <c r="X7" s="17">
        <f t="shared" si="0"/>
        <v>6447.1680000000015</v>
      </c>
      <c r="Y7" s="18">
        <f t="shared" si="0"/>
        <v>6376.3200000000006</v>
      </c>
    </row>
    <row r="8" spans="2:25" ht="22.35" customHeight="1" thickBot="1">
      <c r="B8" s="119"/>
      <c r="C8" s="138"/>
      <c r="D8" s="139"/>
      <c r="E8" s="19">
        <f>ROUND(DATEDIF(F7,F5,"D")/365,0)</f>
        <v>24</v>
      </c>
      <c r="F8" s="144">
        <f>F6-E8</f>
        <v>23</v>
      </c>
      <c r="G8" s="145"/>
      <c r="I8" s="146">
        <f>1-I7</f>
        <v>0.25</v>
      </c>
      <c r="J8" s="147"/>
      <c r="K8" s="134">
        <f>ROUND(K6*I8,0)</f>
        <v>14000</v>
      </c>
      <c r="L8" s="135"/>
      <c r="M8" s="20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2:25" ht="22.35" customHeight="1">
      <c r="B9" s="119"/>
      <c r="C9" s="128" t="s">
        <v>13</v>
      </c>
      <c r="D9" s="129"/>
      <c r="E9" s="23"/>
      <c r="F9" s="148">
        <v>2</v>
      </c>
      <c r="G9" s="149"/>
      <c r="I9" s="150" t="s">
        <v>14</v>
      </c>
      <c r="J9" s="151"/>
      <c r="K9" s="152">
        <f>F6</f>
        <v>47</v>
      </c>
      <c r="L9" s="153"/>
      <c r="M9" s="6"/>
      <c r="N9" s="24" t="s">
        <v>15</v>
      </c>
      <c r="O9" s="109">
        <v>0.05</v>
      </c>
      <c r="P9" s="25">
        <f>P7*$O$9</f>
        <v>352.46879999999999</v>
      </c>
      <c r="Q9" s="25">
        <f t="shared" ref="Q9:Y9" si="1">Q7*$O$9</f>
        <v>350.69760000000008</v>
      </c>
      <c r="R9" s="25">
        <f t="shared" si="1"/>
        <v>348.92640000000006</v>
      </c>
      <c r="S9" s="25">
        <f t="shared" si="1"/>
        <v>347.15520000000004</v>
      </c>
      <c r="T9" s="25">
        <f t="shared" si="1"/>
        <v>336.52800000000002</v>
      </c>
      <c r="U9" s="25">
        <f t="shared" si="1"/>
        <v>332.98560000000003</v>
      </c>
      <c r="V9" s="25">
        <f t="shared" si="1"/>
        <v>329.4432000000001</v>
      </c>
      <c r="W9" s="25">
        <f t="shared" si="1"/>
        <v>325.9008</v>
      </c>
      <c r="X9" s="25">
        <f t="shared" si="1"/>
        <v>322.35840000000007</v>
      </c>
      <c r="Y9" s="26">
        <f t="shared" si="1"/>
        <v>318.81600000000003</v>
      </c>
    </row>
    <row r="10" spans="2:25" ht="22.35" customHeight="1" thickBot="1">
      <c r="B10" s="119"/>
      <c r="C10" s="136" t="s">
        <v>16</v>
      </c>
      <c r="D10" s="137"/>
      <c r="E10" s="27"/>
      <c r="F10" s="156">
        <v>56000000</v>
      </c>
      <c r="G10" s="157"/>
      <c r="I10" s="158" t="s">
        <v>17</v>
      </c>
      <c r="J10" s="159"/>
      <c r="K10" s="160">
        <f>F8</f>
        <v>23</v>
      </c>
      <c r="L10" s="161"/>
      <c r="M10" s="6"/>
      <c r="N10" s="12" t="s">
        <v>18</v>
      </c>
      <c r="O10" s="28">
        <v>400</v>
      </c>
      <c r="P10" s="29">
        <f>$O$10</f>
        <v>400</v>
      </c>
      <c r="Q10" s="29">
        <f t="shared" ref="Q10:Y10" si="2">$O$10</f>
        <v>400</v>
      </c>
      <c r="R10" s="29">
        <f t="shared" si="2"/>
        <v>400</v>
      </c>
      <c r="S10" s="29">
        <f t="shared" si="2"/>
        <v>400</v>
      </c>
      <c r="T10" s="29">
        <f t="shared" si="2"/>
        <v>400</v>
      </c>
      <c r="U10" s="29">
        <f t="shared" si="2"/>
        <v>400</v>
      </c>
      <c r="V10" s="29">
        <f t="shared" si="2"/>
        <v>400</v>
      </c>
      <c r="W10" s="29">
        <f t="shared" si="2"/>
        <v>400</v>
      </c>
      <c r="X10" s="29">
        <f t="shared" si="2"/>
        <v>400</v>
      </c>
      <c r="Y10" s="114">
        <f t="shared" si="2"/>
        <v>400</v>
      </c>
    </row>
    <row r="11" spans="2:25" ht="22.35" customHeight="1" thickBot="1">
      <c r="B11" s="120"/>
      <c r="C11" s="154"/>
      <c r="D11" s="155"/>
      <c r="E11" s="115">
        <v>0</v>
      </c>
      <c r="F11" s="162">
        <f>ROUND(F10*(1+E11),H39-LEN(INT(F10*(1+E11))))</f>
        <v>56000000</v>
      </c>
      <c r="G11" s="163"/>
      <c r="M11" s="6"/>
      <c r="N11" s="12" t="s">
        <v>19</v>
      </c>
      <c r="O11" s="28">
        <v>120</v>
      </c>
      <c r="P11" s="29">
        <f>$O$11</f>
        <v>120</v>
      </c>
      <c r="Q11" s="29">
        <f t="shared" ref="Q11:Y11" si="3">$O$11</f>
        <v>120</v>
      </c>
      <c r="R11" s="29">
        <f t="shared" si="3"/>
        <v>120</v>
      </c>
      <c r="S11" s="29">
        <f t="shared" si="3"/>
        <v>120</v>
      </c>
      <c r="T11" s="29">
        <f t="shared" si="3"/>
        <v>120</v>
      </c>
      <c r="U11" s="29">
        <f t="shared" si="3"/>
        <v>120</v>
      </c>
      <c r="V11" s="29">
        <f t="shared" si="3"/>
        <v>120</v>
      </c>
      <c r="W11" s="29">
        <f t="shared" si="3"/>
        <v>120</v>
      </c>
      <c r="X11" s="29">
        <f t="shared" si="3"/>
        <v>120</v>
      </c>
      <c r="Y11" s="114">
        <f t="shared" si="3"/>
        <v>120</v>
      </c>
    </row>
    <row r="12" spans="2:25" ht="22.35" customHeight="1" thickBot="1">
      <c r="I12" s="125" t="s">
        <v>20</v>
      </c>
      <c r="J12" s="126"/>
      <c r="K12" s="126"/>
      <c r="L12" s="127"/>
      <c r="M12" s="6"/>
      <c r="N12" s="12" t="s">
        <v>21</v>
      </c>
      <c r="O12" s="28">
        <v>60</v>
      </c>
      <c r="P12" s="29">
        <f>$O$12</f>
        <v>60</v>
      </c>
      <c r="Q12" s="29">
        <f t="shared" ref="Q12:Y12" si="4">$O$12</f>
        <v>60</v>
      </c>
      <c r="R12" s="29">
        <f t="shared" si="4"/>
        <v>60</v>
      </c>
      <c r="S12" s="29">
        <f t="shared" si="4"/>
        <v>60</v>
      </c>
      <c r="T12" s="29">
        <f t="shared" si="4"/>
        <v>60</v>
      </c>
      <c r="U12" s="29">
        <f t="shared" si="4"/>
        <v>60</v>
      </c>
      <c r="V12" s="29">
        <f t="shared" si="4"/>
        <v>60</v>
      </c>
      <c r="W12" s="29">
        <f t="shared" si="4"/>
        <v>60</v>
      </c>
      <c r="X12" s="29">
        <f t="shared" si="4"/>
        <v>60</v>
      </c>
      <c r="Y12" s="114">
        <f t="shared" si="4"/>
        <v>60</v>
      </c>
    </row>
    <row r="13" spans="2:25" ht="22.35" customHeight="1">
      <c r="B13" s="164" t="s">
        <v>22</v>
      </c>
      <c r="C13" s="121" t="s">
        <v>23</v>
      </c>
      <c r="D13" s="122"/>
      <c r="E13" s="32">
        <f>F13*0.3025</f>
        <v>84.094999999999999</v>
      </c>
      <c r="F13" s="167">
        <v>278</v>
      </c>
      <c r="G13" s="168"/>
      <c r="I13" s="150" t="s">
        <v>24</v>
      </c>
      <c r="J13" s="151"/>
      <c r="K13" s="134">
        <f>F26/1000</f>
        <v>56000</v>
      </c>
      <c r="L13" s="135"/>
      <c r="M13" s="6"/>
      <c r="N13" s="12" t="s">
        <v>25</v>
      </c>
      <c r="O13" s="28">
        <v>50</v>
      </c>
      <c r="P13" s="29">
        <f>$O$13</f>
        <v>50</v>
      </c>
      <c r="Q13" s="29">
        <f t="shared" ref="Q13:Y13" si="5">$O$13</f>
        <v>50</v>
      </c>
      <c r="R13" s="29">
        <f t="shared" si="5"/>
        <v>50</v>
      </c>
      <c r="S13" s="29">
        <f t="shared" si="5"/>
        <v>50</v>
      </c>
      <c r="T13" s="29">
        <f t="shared" si="5"/>
        <v>50</v>
      </c>
      <c r="U13" s="29">
        <f t="shared" si="5"/>
        <v>50</v>
      </c>
      <c r="V13" s="29">
        <f t="shared" si="5"/>
        <v>50</v>
      </c>
      <c r="W13" s="29">
        <f t="shared" si="5"/>
        <v>50</v>
      </c>
      <c r="X13" s="29">
        <f t="shared" si="5"/>
        <v>50</v>
      </c>
      <c r="Y13" s="114">
        <f t="shared" si="5"/>
        <v>50</v>
      </c>
    </row>
    <row r="14" spans="2:25" ht="22.35" customHeight="1">
      <c r="B14" s="165"/>
      <c r="C14" s="169" t="s">
        <v>26</v>
      </c>
      <c r="D14" s="170"/>
      <c r="E14" s="33"/>
      <c r="F14" s="171">
        <v>80000</v>
      </c>
      <c r="G14" s="172"/>
      <c r="I14" s="150" t="s">
        <v>27</v>
      </c>
      <c r="J14" s="151"/>
      <c r="K14" s="152">
        <f>F28</f>
        <v>23</v>
      </c>
      <c r="L14" s="153"/>
      <c r="M14" s="6"/>
      <c r="N14" s="12" t="s">
        <v>28</v>
      </c>
      <c r="O14" s="28">
        <v>80</v>
      </c>
      <c r="P14" s="29">
        <f>$O$14</f>
        <v>80</v>
      </c>
      <c r="Q14" s="29">
        <f t="shared" ref="Q14:Y14" si="6">$O$14</f>
        <v>80</v>
      </c>
      <c r="R14" s="29">
        <f t="shared" si="6"/>
        <v>80</v>
      </c>
      <c r="S14" s="29">
        <f t="shared" si="6"/>
        <v>80</v>
      </c>
      <c r="T14" s="29">
        <f t="shared" si="6"/>
        <v>80</v>
      </c>
      <c r="U14" s="29">
        <f t="shared" si="6"/>
        <v>80</v>
      </c>
      <c r="V14" s="29">
        <f t="shared" si="6"/>
        <v>80</v>
      </c>
      <c r="W14" s="29">
        <f t="shared" si="6"/>
        <v>80</v>
      </c>
      <c r="X14" s="29">
        <f t="shared" si="6"/>
        <v>80</v>
      </c>
      <c r="Y14" s="114">
        <f t="shared" si="6"/>
        <v>80</v>
      </c>
    </row>
    <row r="15" spans="2:25" ht="22.35" customHeight="1">
      <c r="B15" s="165"/>
      <c r="C15" s="128" t="s">
        <v>29</v>
      </c>
      <c r="D15" s="129"/>
      <c r="E15" s="33"/>
      <c r="F15" s="177">
        <f>ROUND(F13*F14,H39-LEN(INT(F13*F14)))</f>
        <v>22200000</v>
      </c>
      <c r="G15" s="178"/>
      <c r="I15" s="150" t="s">
        <v>30</v>
      </c>
      <c r="J15" s="151"/>
      <c r="K15" s="179">
        <v>2</v>
      </c>
      <c r="L15" s="180"/>
      <c r="M15" s="6"/>
      <c r="N15" s="12" t="s">
        <v>31</v>
      </c>
      <c r="O15" s="28">
        <v>18</v>
      </c>
      <c r="P15" s="29">
        <f>$O$15</f>
        <v>18</v>
      </c>
      <c r="Q15" s="29">
        <f t="shared" ref="Q15:Y15" si="7">$O$15</f>
        <v>18</v>
      </c>
      <c r="R15" s="29">
        <f t="shared" si="7"/>
        <v>18</v>
      </c>
      <c r="S15" s="29">
        <f t="shared" si="7"/>
        <v>18</v>
      </c>
      <c r="T15" s="29">
        <f t="shared" si="7"/>
        <v>18</v>
      </c>
      <c r="U15" s="29">
        <f t="shared" si="7"/>
        <v>18</v>
      </c>
      <c r="V15" s="29">
        <f t="shared" si="7"/>
        <v>18</v>
      </c>
      <c r="W15" s="29">
        <f t="shared" si="7"/>
        <v>18</v>
      </c>
      <c r="X15" s="29">
        <f t="shared" si="7"/>
        <v>18</v>
      </c>
      <c r="Y15" s="114">
        <f t="shared" si="7"/>
        <v>18</v>
      </c>
    </row>
    <row r="16" spans="2:25" ht="22.35" customHeight="1">
      <c r="B16" s="165"/>
      <c r="C16" s="136" t="s">
        <v>32</v>
      </c>
      <c r="D16" s="137"/>
      <c r="E16" s="33"/>
      <c r="F16" s="181">
        <v>485</v>
      </c>
      <c r="G16" s="182"/>
      <c r="I16" s="183" t="s">
        <v>33</v>
      </c>
      <c r="J16" s="34" t="s">
        <v>34</v>
      </c>
      <c r="K16" s="35">
        <f>F27</f>
        <v>1.7000000000000001E-2</v>
      </c>
      <c r="L16" s="36">
        <f>-PMT($K16,$K$14,$K$13)</f>
        <v>2962.1019491187189</v>
      </c>
      <c r="M16" s="6"/>
      <c r="N16" s="12" t="s">
        <v>35</v>
      </c>
      <c r="O16" s="28">
        <v>57</v>
      </c>
      <c r="P16" s="29">
        <f>$O$16</f>
        <v>57</v>
      </c>
      <c r="Q16" s="29">
        <f t="shared" ref="Q16:Y16" si="8">$O$16</f>
        <v>57</v>
      </c>
      <c r="R16" s="29">
        <f t="shared" si="8"/>
        <v>57</v>
      </c>
      <c r="S16" s="29">
        <f t="shared" si="8"/>
        <v>57</v>
      </c>
      <c r="T16" s="29">
        <f t="shared" si="8"/>
        <v>57</v>
      </c>
      <c r="U16" s="29">
        <f t="shared" si="8"/>
        <v>57</v>
      </c>
      <c r="V16" s="29">
        <f t="shared" si="8"/>
        <v>57</v>
      </c>
      <c r="W16" s="29">
        <f t="shared" si="8"/>
        <v>57</v>
      </c>
      <c r="X16" s="29">
        <f t="shared" si="8"/>
        <v>57</v>
      </c>
      <c r="Y16" s="114">
        <f t="shared" si="8"/>
        <v>57</v>
      </c>
    </row>
    <row r="17" spans="1:25" ht="22.35" customHeight="1" thickBot="1">
      <c r="B17" s="165"/>
      <c r="C17" s="128" t="s">
        <v>36</v>
      </c>
      <c r="D17" s="129"/>
      <c r="E17" s="33"/>
      <c r="F17" s="185">
        <f>IF(E6="rc/src",190000,160000)</f>
        <v>190000</v>
      </c>
      <c r="G17" s="186"/>
      <c r="H17" s="37"/>
      <c r="I17" s="184"/>
      <c r="J17" s="38" t="s">
        <v>37</v>
      </c>
      <c r="K17" s="39">
        <v>0.02</v>
      </c>
      <c r="L17" s="40">
        <f t="shared" ref="L17" si="9">-PMT($K17,$K$14,$K$13)</f>
        <v>3061.4134659537699</v>
      </c>
      <c r="N17" s="12" t="s">
        <v>38</v>
      </c>
      <c r="O17" s="28">
        <v>777</v>
      </c>
      <c r="P17" s="29">
        <f>$O$17</f>
        <v>777</v>
      </c>
      <c r="Q17" s="29">
        <f t="shared" ref="Q17:Y17" si="10">$O$17</f>
        <v>777</v>
      </c>
      <c r="R17" s="29">
        <f t="shared" si="10"/>
        <v>777</v>
      </c>
      <c r="S17" s="29">
        <f t="shared" si="10"/>
        <v>777</v>
      </c>
      <c r="T17" s="29">
        <f t="shared" si="10"/>
        <v>777</v>
      </c>
      <c r="U17" s="29">
        <f t="shared" si="10"/>
        <v>777</v>
      </c>
      <c r="V17" s="29">
        <f t="shared" si="10"/>
        <v>777</v>
      </c>
      <c r="W17" s="29">
        <f t="shared" si="10"/>
        <v>777</v>
      </c>
      <c r="X17" s="29">
        <f t="shared" si="10"/>
        <v>777</v>
      </c>
      <c r="Y17" s="114">
        <f t="shared" si="10"/>
        <v>777</v>
      </c>
    </row>
    <row r="18" spans="1:25" ht="22.35" customHeight="1" thickBot="1">
      <c r="B18" s="165"/>
      <c r="C18" s="136" t="s">
        <v>39</v>
      </c>
      <c r="D18" s="137"/>
      <c r="E18" s="41">
        <f>F16/F13</f>
        <v>1.7446043165467626</v>
      </c>
      <c r="F18" s="187" t="str">
        <f>IF(F9&gt;E18,"O.K.","容積率オーバー")</f>
        <v>O.K.</v>
      </c>
      <c r="G18" s="188"/>
      <c r="I18" s="42"/>
      <c r="J18" s="42"/>
      <c r="K18" s="42"/>
      <c r="L18" s="42"/>
      <c r="N18" s="12" t="s">
        <v>40</v>
      </c>
      <c r="O18" s="28">
        <v>0</v>
      </c>
      <c r="P18" s="30">
        <f>$O$18</f>
        <v>0</v>
      </c>
      <c r="Q18" s="30">
        <f t="shared" ref="Q18:Y18" si="11">$O$18</f>
        <v>0</v>
      </c>
      <c r="R18" s="30">
        <f t="shared" si="11"/>
        <v>0</v>
      </c>
      <c r="S18" s="30">
        <f t="shared" si="11"/>
        <v>0</v>
      </c>
      <c r="T18" s="30">
        <f t="shared" si="11"/>
        <v>0</v>
      </c>
      <c r="U18" s="30">
        <f t="shared" si="11"/>
        <v>0</v>
      </c>
      <c r="V18" s="30">
        <f t="shared" si="11"/>
        <v>0</v>
      </c>
      <c r="W18" s="30">
        <f t="shared" si="11"/>
        <v>0</v>
      </c>
      <c r="X18" s="30">
        <f t="shared" si="11"/>
        <v>0</v>
      </c>
      <c r="Y18" s="31">
        <f t="shared" si="11"/>
        <v>0</v>
      </c>
    </row>
    <row r="19" spans="1:25" ht="22.35" customHeight="1">
      <c r="B19" s="165"/>
      <c r="C19" s="136" t="s">
        <v>41</v>
      </c>
      <c r="D19" s="137"/>
      <c r="E19" s="43"/>
      <c r="F19" s="189">
        <f>ROUND(F16*F17*(F6-E8)/F6,H39-LEN(INT(F16*F17*(F6-E8)/F6)))</f>
        <v>45100000</v>
      </c>
      <c r="G19" s="190"/>
      <c r="I19" s="125" t="s">
        <v>42</v>
      </c>
      <c r="J19" s="126"/>
      <c r="K19" s="126"/>
      <c r="L19" s="127"/>
      <c r="N19" s="12" t="s">
        <v>43</v>
      </c>
      <c r="O19" s="44"/>
      <c r="P19" s="45">
        <f t="shared" ref="P19:Y19" si="12">IF(P5=$K$26,$K$27,IF(P5=$K$28,$K$29,0))</f>
        <v>1000</v>
      </c>
      <c r="Q19" s="45">
        <f t="shared" si="12"/>
        <v>0</v>
      </c>
      <c r="R19" s="45">
        <f t="shared" si="12"/>
        <v>0</v>
      </c>
      <c r="S19" s="45">
        <f t="shared" si="12"/>
        <v>0</v>
      </c>
      <c r="T19" s="45">
        <f t="shared" si="12"/>
        <v>2000</v>
      </c>
      <c r="U19" s="45">
        <f t="shared" si="12"/>
        <v>0</v>
      </c>
      <c r="V19" s="45">
        <f t="shared" si="12"/>
        <v>0</v>
      </c>
      <c r="W19" s="45">
        <f t="shared" si="12"/>
        <v>0</v>
      </c>
      <c r="X19" s="45">
        <f t="shared" si="12"/>
        <v>0</v>
      </c>
      <c r="Y19" s="46">
        <f t="shared" si="12"/>
        <v>0</v>
      </c>
    </row>
    <row r="20" spans="1:25" ht="22.35" customHeight="1">
      <c r="B20" s="165"/>
      <c r="C20" s="173" t="s">
        <v>44</v>
      </c>
      <c r="D20" s="174"/>
      <c r="E20" s="47">
        <f>IF(E6="rc/src",70000,50000)</f>
        <v>70000</v>
      </c>
      <c r="F20" s="175">
        <f>ROUND(F16*0.3025*E20,H39-LEN(INT(F16*0.3025*E20)))</f>
        <v>10300000</v>
      </c>
      <c r="G20" s="176"/>
      <c r="I20" s="150" t="s">
        <v>45</v>
      </c>
      <c r="J20" s="151"/>
      <c r="K20" s="134">
        <f>F23/1000</f>
        <v>7872</v>
      </c>
      <c r="L20" s="135"/>
      <c r="N20" s="12" t="s">
        <v>46</v>
      </c>
      <c r="O20" s="28">
        <v>150</v>
      </c>
      <c r="P20" s="45">
        <f>$O$20</f>
        <v>150</v>
      </c>
      <c r="Q20" s="45">
        <f t="shared" ref="Q20:Y20" si="13">$O$20</f>
        <v>150</v>
      </c>
      <c r="R20" s="45">
        <f t="shared" si="13"/>
        <v>150</v>
      </c>
      <c r="S20" s="45">
        <f t="shared" si="13"/>
        <v>150</v>
      </c>
      <c r="T20" s="45">
        <f t="shared" si="13"/>
        <v>150</v>
      </c>
      <c r="U20" s="45">
        <f t="shared" si="13"/>
        <v>150</v>
      </c>
      <c r="V20" s="45">
        <f t="shared" si="13"/>
        <v>150</v>
      </c>
      <c r="W20" s="45">
        <f t="shared" si="13"/>
        <v>150</v>
      </c>
      <c r="X20" s="45">
        <f t="shared" si="13"/>
        <v>150</v>
      </c>
      <c r="Y20" s="46">
        <f t="shared" si="13"/>
        <v>150</v>
      </c>
    </row>
    <row r="21" spans="1:25" ht="22.35" customHeight="1" thickBot="1">
      <c r="B21" s="166"/>
      <c r="C21" s="191" t="s">
        <v>47</v>
      </c>
      <c r="D21" s="192"/>
      <c r="E21" s="48"/>
      <c r="F21" s="193">
        <f>ROUND(F15+F19,H39-LEN(INT(F15+F19)))</f>
        <v>67300000</v>
      </c>
      <c r="G21" s="194"/>
      <c r="I21" s="150" t="s">
        <v>48</v>
      </c>
      <c r="J21" s="151"/>
      <c r="K21" s="195">
        <f>E30</f>
        <v>0.9</v>
      </c>
      <c r="L21" s="196"/>
      <c r="N21" s="49" t="s">
        <v>49</v>
      </c>
      <c r="O21" s="50"/>
      <c r="P21" s="51">
        <f>$O$33*$K$16</f>
        <v>952.00000000000011</v>
      </c>
      <c r="Q21" s="51">
        <f>$K$16*P33</f>
        <v>917.82826686498186</v>
      </c>
      <c r="R21" s="51">
        <f>$K$16*Q33</f>
        <v>883.07561426666825</v>
      </c>
      <c r="S21" s="51">
        <f>$K$16*R33</f>
        <v>847.73216657418334</v>
      </c>
      <c r="T21" s="51">
        <f>$K$16*S33</f>
        <v>811.78788027092628</v>
      </c>
      <c r="U21" s="51">
        <f>$K$17*T33</f>
        <v>912.03828364766321</v>
      </c>
      <c r="V21" s="51">
        <f>$K$17*U33</f>
        <v>869.05078000154117</v>
      </c>
      <c r="W21" s="51">
        <f>$K$17*V33</f>
        <v>825.20352628249657</v>
      </c>
      <c r="X21" s="51">
        <f>$K$17*W33</f>
        <v>780.47932748907112</v>
      </c>
      <c r="Y21" s="52">
        <f>$K$17*X33</f>
        <v>734.86064471977716</v>
      </c>
    </row>
    <row r="22" spans="1:25" ht="22.35" customHeight="1" thickBot="1">
      <c r="C22" s="53"/>
      <c r="D22" s="54"/>
      <c r="E22" s="55"/>
      <c r="F22" s="55"/>
      <c r="G22" s="55"/>
      <c r="I22" s="197" t="s">
        <v>50</v>
      </c>
      <c r="J22" s="107">
        <v>5</v>
      </c>
      <c r="K22" s="199">
        <v>-0.05</v>
      </c>
      <c r="L22" s="200"/>
      <c r="N22" s="56" t="s">
        <v>51</v>
      </c>
      <c r="O22" s="57"/>
      <c r="P22" s="58">
        <f>SUM(P9:P21)</f>
        <v>4016.4688000000001</v>
      </c>
      <c r="Q22" s="58">
        <f t="shared" ref="Q22:Y22" si="14">SUM(Q9:Q21)</f>
        <v>2980.5258668649817</v>
      </c>
      <c r="R22" s="58">
        <f t="shared" si="14"/>
        <v>2944.0020142666685</v>
      </c>
      <c r="S22" s="58">
        <f t="shared" si="14"/>
        <v>2906.8873665741835</v>
      </c>
      <c r="T22" s="58">
        <f t="shared" si="14"/>
        <v>4860.3158802709268</v>
      </c>
      <c r="U22" s="58">
        <f t="shared" si="14"/>
        <v>2957.0238836476633</v>
      </c>
      <c r="V22" s="58">
        <f t="shared" si="14"/>
        <v>2910.4939800015413</v>
      </c>
      <c r="W22" s="58">
        <f t="shared" si="14"/>
        <v>2863.1043262824965</v>
      </c>
      <c r="X22" s="58">
        <f t="shared" si="14"/>
        <v>2814.8377274890713</v>
      </c>
      <c r="Y22" s="59">
        <f t="shared" si="14"/>
        <v>2765.676644719777</v>
      </c>
    </row>
    <row r="23" spans="1:25" ht="22.35" customHeight="1" thickBot="1">
      <c r="B23" s="201" t="s">
        <v>52</v>
      </c>
      <c r="C23" s="121" t="s">
        <v>53</v>
      </c>
      <c r="D23" s="122"/>
      <c r="E23" s="60">
        <v>656000</v>
      </c>
      <c r="F23" s="204">
        <f>E23*12</f>
        <v>7872000</v>
      </c>
      <c r="G23" s="205"/>
      <c r="H23" s="55"/>
      <c r="I23" s="198"/>
      <c r="J23" s="108">
        <v>10</v>
      </c>
      <c r="K23" s="206">
        <v>-0.1</v>
      </c>
      <c r="L23" s="207"/>
      <c r="M23" s="6"/>
      <c r="N23" s="21"/>
      <c r="O23" s="21"/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22.35" customHeight="1" thickBot="1">
      <c r="A24" s="55"/>
      <c r="B24" s="202"/>
      <c r="C24" s="208" t="s">
        <v>54</v>
      </c>
      <c r="D24" s="209"/>
      <c r="E24" s="62"/>
      <c r="F24" s="210">
        <f>ROUND(F23/F11,3)</f>
        <v>0.14099999999999999</v>
      </c>
      <c r="G24" s="211"/>
      <c r="I24" s="42"/>
      <c r="J24" s="42"/>
      <c r="K24" s="42"/>
      <c r="L24" s="42"/>
      <c r="M24" s="6"/>
      <c r="N24" s="24" t="s">
        <v>55</v>
      </c>
      <c r="O24" s="63"/>
      <c r="P24" s="64">
        <f t="shared" ref="P24:Y24" si="15">IF(P5&gt;$K$10,0,$K$7/$K$10)</f>
        <v>1826.0869565217392</v>
      </c>
      <c r="Q24" s="64">
        <f t="shared" si="15"/>
        <v>1826.0869565217392</v>
      </c>
      <c r="R24" s="64">
        <f t="shared" si="15"/>
        <v>1826.0869565217392</v>
      </c>
      <c r="S24" s="64">
        <f t="shared" si="15"/>
        <v>1826.0869565217392</v>
      </c>
      <c r="T24" s="64">
        <f t="shared" si="15"/>
        <v>1826.0869565217392</v>
      </c>
      <c r="U24" s="64">
        <f t="shared" si="15"/>
        <v>1826.0869565217392</v>
      </c>
      <c r="V24" s="64">
        <f t="shared" si="15"/>
        <v>1826.0869565217392</v>
      </c>
      <c r="W24" s="64">
        <f t="shared" si="15"/>
        <v>1826.0869565217392</v>
      </c>
      <c r="X24" s="64">
        <f t="shared" si="15"/>
        <v>1826.0869565217392</v>
      </c>
      <c r="Y24" s="26">
        <f t="shared" si="15"/>
        <v>1826.0869565217392</v>
      </c>
    </row>
    <row r="25" spans="1:25" ht="22.35" customHeight="1" thickBot="1">
      <c r="A25" s="3" t="s">
        <v>56</v>
      </c>
      <c r="B25" s="202"/>
      <c r="C25" s="212">
        <v>7.0000000000000007E-2</v>
      </c>
      <c r="D25" s="213"/>
      <c r="E25" s="33"/>
      <c r="F25" s="177">
        <f>ROUND(F10*C25,H39-LEN(INT(F10*C25)))</f>
        <v>3920000</v>
      </c>
      <c r="G25" s="178"/>
      <c r="I25" s="125" t="s">
        <v>57</v>
      </c>
      <c r="J25" s="126"/>
      <c r="K25" s="126"/>
      <c r="L25" s="127"/>
      <c r="M25" s="6"/>
      <c r="N25" s="65" t="s">
        <v>58</v>
      </c>
      <c r="O25" s="66"/>
      <c r="P25" s="67">
        <f>P7-P22-P24</f>
        <v>1206.82024347826</v>
      </c>
      <c r="Q25" s="67">
        <f t="shared" ref="Q25:Y25" si="16">Q7-Q22-Q24</f>
        <v>2207.33917661328</v>
      </c>
      <c r="R25" s="67">
        <f t="shared" si="16"/>
        <v>2208.4390292115922</v>
      </c>
      <c r="S25" s="67">
        <f t="shared" si="16"/>
        <v>2210.1296769040773</v>
      </c>
      <c r="T25" s="67">
        <f t="shared" si="16"/>
        <v>44.157163207333497</v>
      </c>
      <c r="U25" s="67">
        <f t="shared" si="16"/>
        <v>1876.6011598305979</v>
      </c>
      <c r="V25" s="67">
        <f t="shared" si="16"/>
        <v>1852.2830634767208</v>
      </c>
      <c r="W25" s="67">
        <f t="shared" si="16"/>
        <v>1828.8247171957639</v>
      </c>
      <c r="X25" s="67">
        <f t="shared" si="16"/>
        <v>1806.2433159891909</v>
      </c>
      <c r="Y25" s="68">
        <f t="shared" si="16"/>
        <v>1784.5563987584844</v>
      </c>
    </row>
    <row r="26" spans="1:25" ht="22.35" customHeight="1">
      <c r="B26" s="202"/>
      <c r="C26" s="128" t="s">
        <v>59</v>
      </c>
      <c r="D26" s="129"/>
      <c r="E26" s="69" t="s">
        <v>60</v>
      </c>
      <c r="F26" s="177">
        <f>IF(E26="フルローン",F11,F11+F25)</f>
        <v>56000000</v>
      </c>
      <c r="G26" s="178"/>
      <c r="I26" s="214" t="s">
        <v>61</v>
      </c>
      <c r="J26" s="217" t="s">
        <v>62</v>
      </c>
      <c r="K26" s="218">
        <v>1</v>
      </c>
      <c r="L26" s="219"/>
      <c r="N26" s="24" t="s">
        <v>63</v>
      </c>
      <c r="O26" s="70">
        <v>0.23</v>
      </c>
      <c r="P26" s="64">
        <f>MAX(P25*$O$26,0)</f>
        <v>277.56865599999981</v>
      </c>
      <c r="Q26" s="64">
        <f t="shared" ref="Q26:Y26" si="17">MAX(Q25*$O$26,0)</f>
        <v>507.68801062105439</v>
      </c>
      <c r="R26" s="64">
        <f t="shared" si="17"/>
        <v>507.94097671866626</v>
      </c>
      <c r="S26" s="64">
        <f t="shared" si="17"/>
        <v>508.32982568793778</v>
      </c>
      <c r="T26" s="64">
        <f t="shared" si="17"/>
        <v>10.156147537686705</v>
      </c>
      <c r="U26" s="64">
        <f t="shared" si="17"/>
        <v>431.61826676103755</v>
      </c>
      <c r="V26" s="64">
        <f t="shared" si="17"/>
        <v>426.02510459964583</v>
      </c>
      <c r="W26" s="64">
        <f t="shared" si="17"/>
        <v>420.62968495502571</v>
      </c>
      <c r="X26" s="64">
        <f t="shared" si="17"/>
        <v>415.43596267751394</v>
      </c>
      <c r="Y26" s="26">
        <f t="shared" si="17"/>
        <v>410.44797171445146</v>
      </c>
    </row>
    <row r="27" spans="1:25" ht="22.35" customHeight="1" thickBot="1">
      <c r="B27" s="202"/>
      <c r="C27" s="220" t="s">
        <v>64</v>
      </c>
      <c r="D27" s="71" t="s">
        <v>65</v>
      </c>
      <c r="E27" s="43"/>
      <c r="F27" s="223">
        <v>1.7000000000000001E-2</v>
      </c>
      <c r="G27" s="224"/>
      <c r="I27" s="215"/>
      <c r="J27" s="217"/>
      <c r="K27" s="225">
        <v>1000</v>
      </c>
      <c r="L27" s="226"/>
      <c r="N27" s="65" t="s">
        <v>66</v>
      </c>
      <c r="O27" s="66"/>
      <c r="P27" s="67">
        <f t="shared" ref="P27:Y27" si="18">P25-P26</f>
        <v>929.25158747826015</v>
      </c>
      <c r="Q27" s="67">
        <f t="shared" si="18"/>
        <v>1699.6511659922255</v>
      </c>
      <c r="R27" s="67">
        <f t="shared" si="18"/>
        <v>1700.498052492926</v>
      </c>
      <c r="S27" s="67">
        <f t="shared" si="18"/>
        <v>1701.7998512161396</v>
      </c>
      <c r="T27" s="67">
        <f t="shared" si="18"/>
        <v>34.00101566964679</v>
      </c>
      <c r="U27" s="67">
        <f t="shared" si="18"/>
        <v>1444.9828930695603</v>
      </c>
      <c r="V27" s="67">
        <f t="shared" si="18"/>
        <v>1426.257958877075</v>
      </c>
      <c r="W27" s="67">
        <f t="shared" si="18"/>
        <v>1408.1950322407383</v>
      </c>
      <c r="X27" s="67">
        <f t="shared" si="18"/>
        <v>1390.8073533116769</v>
      </c>
      <c r="Y27" s="68">
        <f t="shared" si="18"/>
        <v>1374.1084270440329</v>
      </c>
    </row>
    <row r="28" spans="1:25" ht="22.35" customHeight="1">
      <c r="B28" s="202"/>
      <c r="C28" s="221"/>
      <c r="D28" s="72" t="s">
        <v>67</v>
      </c>
      <c r="E28" s="73">
        <v>0</v>
      </c>
      <c r="F28" s="227">
        <f>IF(E8&lt;17,30,F6-E8)+E28</f>
        <v>23</v>
      </c>
      <c r="G28" s="228"/>
      <c r="I28" s="215"/>
      <c r="J28" s="217" t="s">
        <v>68</v>
      </c>
      <c r="K28" s="218">
        <v>5</v>
      </c>
      <c r="L28" s="219"/>
      <c r="N28" s="24" t="s">
        <v>69</v>
      </c>
      <c r="O28" s="63"/>
      <c r="P28" s="64">
        <f>P27+P24</f>
        <v>2755.3385439999993</v>
      </c>
      <c r="Q28" s="64">
        <f t="shared" ref="Q28:Y28" si="19">Q27+Q24</f>
        <v>3525.7381225139648</v>
      </c>
      <c r="R28" s="64">
        <f t="shared" si="19"/>
        <v>3526.585009014665</v>
      </c>
      <c r="S28" s="64">
        <f t="shared" si="19"/>
        <v>3527.8868077378788</v>
      </c>
      <c r="T28" s="64">
        <f t="shared" si="19"/>
        <v>1860.0879721913861</v>
      </c>
      <c r="U28" s="64">
        <f t="shared" si="19"/>
        <v>3271.0698495912993</v>
      </c>
      <c r="V28" s="64">
        <f t="shared" si="19"/>
        <v>3252.344915398814</v>
      </c>
      <c r="W28" s="64">
        <f t="shared" si="19"/>
        <v>3234.2819887624773</v>
      </c>
      <c r="X28" s="64">
        <f t="shared" si="19"/>
        <v>3216.8943098334162</v>
      </c>
      <c r="Y28" s="26">
        <f t="shared" si="19"/>
        <v>3200.1953835657723</v>
      </c>
    </row>
    <row r="29" spans="1:25" ht="22.35" customHeight="1" thickBot="1">
      <c r="B29" s="202"/>
      <c r="C29" s="221"/>
      <c r="D29" s="71" t="s">
        <v>70</v>
      </c>
      <c r="E29" s="74">
        <f>G29/F23</f>
        <v>0.37628328252032522</v>
      </c>
      <c r="F29" s="75" t="str">
        <f>IF(E29&lt;=40%,"◎",IF(E29&lt;=45%,"○",IF(E29&lt;=55%,"△",IF(E29&gt;=55%,"×"))))</f>
        <v>◎</v>
      </c>
      <c r="G29" s="76">
        <f>ROUND(-PMT(F27,F28,F26),0)</f>
        <v>2962102</v>
      </c>
      <c r="I29" s="216"/>
      <c r="J29" s="229"/>
      <c r="K29" s="230">
        <v>2000</v>
      </c>
      <c r="L29" s="231"/>
      <c r="N29" s="12" t="s">
        <v>71</v>
      </c>
      <c r="O29" s="77"/>
      <c r="P29" s="30">
        <f>IF(P5&gt;$K$14,0,IF($K$15=1,$K$13/$K$14,$L$16-P21))</f>
        <v>2010.1019491187189</v>
      </c>
      <c r="Q29" s="30">
        <f>IF(Q5&gt;$K$14,0,IF($K$15=1,$K$13/$K$14,$L$16-Q21))</f>
        <v>2044.2736822537372</v>
      </c>
      <c r="R29" s="30">
        <f>IF(R5&gt;$K$14,0,IF($K$15=1,$K$13/$K$14,$L$16-R21))</f>
        <v>2079.0263348520507</v>
      </c>
      <c r="S29" s="30">
        <f>IF(S5&gt;$K$14,0,IF($K$15=1,$K$13/$K$14,$L$16-S21))</f>
        <v>2114.3697825445356</v>
      </c>
      <c r="T29" s="30">
        <f>IF(T5&gt;$K$14,0,IF($K$15=1,$K$13/$K$14,$L$16-T21))</f>
        <v>2150.3140688477924</v>
      </c>
      <c r="U29" s="30">
        <f>IF(U5&gt;$K$14,0,IF($K$15=1,$K$13/$K$14,$L$17-U21))</f>
        <v>2149.3751823061066</v>
      </c>
      <c r="V29" s="30">
        <f>IF(V5&gt;$K$14,0,IF($K$15=1,$K$13/$K$14,$L$17-V21))</f>
        <v>2192.3626859522287</v>
      </c>
      <c r="W29" s="30">
        <f>IF(W5&gt;$K$14,0,IF($K$15=1,$K$13/$K$14,$L$17-W21))</f>
        <v>2236.2099396712733</v>
      </c>
      <c r="X29" s="30">
        <f>IF(X5&gt;$K$14,0,IF($K$15=1,$K$13/$K$14,$L$17-X21))</f>
        <v>2280.9341384646987</v>
      </c>
      <c r="Y29" s="31">
        <f>IF(Y5&gt;$K$14,0,IF($K$15=1,$K$13/$K$14,$L$17-Y21))</f>
        <v>2326.5528212339927</v>
      </c>
    </row>
    <row r="30" spans="1:25" ht="22.35" customHeight="1">
      <c r="B30" s="202"/>
      <c r="C30" s="221"/>
      <c r="D30" s="78">
        <v>0.1</v>
      </c>
      <c r="E30" s="79">
        <f>1-D30</f>
        <v>0.9</v>
      </c>
      <c r="F30" s="177">
        <f>ROUND(F23*E30,0)</f>
        <v>7084800</v>
      </c>
      <c r="G30" s="178"/>
      <c r="N30" s="80" t="s">
        <v>72</v>
      </c>
      <c r="O30" s="81"/>
      <c r="P30" s="82">
        <f t="shared" ref="P30:Y30" si="20">(P28-P29)+IF(P27&gt;0,0,-P27/2)</f>
        <v>745.23659488128033</v>
      </c>
      <c r="Q30" s="82">
        <f t="shared" si="20"/>
        <v>1481.4644402602275</v>
      </c>
      <c r="R30" s="82">
        <f t="shared" si="20"/>
        <v>1447.5586741626144</v>
      </c>
      <c r="S30" s="82">
        <f t="shared" si="20"/>
        <v>1413.5170251933432</v>
      </c>
      <c r="T30" s="82">
        <f t="shared" si="20"/>
        <v>-290.2260966564063</v>
      </c>
      <c r="U30" s="82">
        <f t="shared" si="20"/>
        <v>1121.6946672851927</v>
      </c>
      <c r="V30" s="82">
        <f t="shared" si="20"/>
        <v>1059.9822294465853</v>
      </c>
      <c r="W30" s="82">
        <f t="shared" si="20"/>
        <v>998.07204909120401</v>
      </c>
      <c r="X30" s="82">
        <f t="shared" si="20"/>
        <v>935.96017136871751</v>
      </c>
      <c r="Y30" s="83">
        <f t="shared" si="20"/>
        <v>873.64256233177957</v>
      </c>
    </row>
    <row r="31" spans="1:25" ht="22.35" customHeight="1" thickBot="1">
      <c r="B31" s="202"/>
      <c r="C31" s="221"/>
      <c r="D31" s="84">
        <v>0.25</v>
      </c>
      <c r="E31" s="33"/>
      <c r="F31" s="177">
        <f>ROUND(F23*D31,0)</f>
        <v>1968000</v>
      </c>
      <c r="G31" s="178"/>
      <c r="I31" s="95" t="s">
        <v>86</v>
      </c>
      <c r="N31" s="65" t="s">
        <v>73</v>
      </c>
      <c r="O31" s="66"/>
      <c r="P31" s="67">
        <f>P30</f>
        <v>745.23659488128033</v>
      </c>
      <c r="Q31" s="67">
        <f>Q30+P31</f>
        <v>2226.7010351415079</v>
      </c>
      <c r="R31" s="67">
        <f t="shared" ref="R31:Y31" si="21">R30+Q31</f>
        <v>3674.2597093041222</v>
      </c>
      <c r="S31" s="67">
        <f t="shared" si="21"/>
        <v>5087.7767344974654</v>
      </c>
      <c r="T31" s="67">
        <f t="shared" si="21"/>
        <v>4797.5506378410591</v>
      </c>
      <c r="U31" s="67">
        <f t="shared" si="21"/>
        <v>5919.2453051262519</v>
      </c>
      <c r="V31" s="67">
        <f t="shared" si="21"/>
        <v>6979.2275345728376</v>
      </c>
      <c r="W31" s="67">
        <f t="shared" si="21"/>
        <v>7977.2995836640421</v>
      </c>
      <c r="X31" s="67">
        <f t="shared" si="21"/>
        <v>8913.2597550327591</v>
      </c>
      <c r="Y31" s="68">
        <f t="shared" si="21"/>
        <v>9786.9023173645382</v>
      </c>
    </row>
    <row r="32" spans="1:25" ht="22.35" customHeight="1" thickBot="1">
      <c r="B32" s="202"/>
      <c r="C32" s="221"/>
      <c r="D32" s="71" t="s">
        <v>74</v>
      </c>
      <c r="E32" s="33"/>
      <c r="F32" s="232">
        <f>F23-G29-F31</f>
        <v>2941898</v>
      </c>
      <c r="G32" s="233"/>
      <c r="I32" s="238" t="s">
        <v>87</v>
      </c>
      <c r="J32" s="239"/>
      <c r="K32" s="239" t="s">
        <v>88</v>
      </c>
      <c r="L32" s="242"/>
      <c r="N32" s="6"/>
      <c r="O32" s="6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2:25" ht="22.35" customHeight="1" thickBot="1">
      <c r="B33" s="202"/>
      <c r="C33" s="222"/>
      <c r="D33" s="86">
        <f>D30</f>
        <v>0.1</v>
      </c>
      <c r="E33" s="62"/>
      <c r="F33" s="87"/>
      <c r="G33" s="88">
        <f>ROUND(F30-G29-F31,H39-LEN(INT(F30-G29-F31)))</f>
        <v>2150000</v>
      </c>
      <c r="I33" s="240">
        <f>F11-N39*1000</f>
        <v>53520000</v>
      </c>
      <c r="J33" s="241"/>
      <c r="K33" s="243">
        <f>F23/I33</f>
        <v>0.14708520179372198</v>
      </c>
      <c r="L33" s="244"/>
      <c r="N33" s="7" t="s">
        <v>75</v>
      </c>
      <c r="O33" s="89">
        <f>K13</f>
        <v>56000</v>
      </c>
      <c r="P33" s="90">
        <f t="shared" ref="P33:Y33" si="22">IF(O33-P29&gt;0,O33-P29,0)</f>
        <v>53989.898050881282</v>
      </c>
      <c r="Q33" s="90">
        <f t="shared" si="22"/>
        <v>51945.624368627541</v>
      </c>
      <c r="R33" s="90">
        <f t="shared" si="22"/>
        <v>49866.598033775488</v>
      </c>
      <c r="S33" s="90">
        <f t="shared" si="22"/>
        <v>47752.228251230954</v>
      </c>
      <c r="T33" s="90">
        <f t="shared" si="22"/>
        <v>45601.91418238316</v>
      </c>
      <c r="U33" s="90">
        <f t="shared" si="22"/>
        <v>43452.539000077057</v>
      </c>
      <c r="V33" s="90">
        <f t="shared" si="22"/>
        <v>41260.17631412483</v>
      </c>
      <c r="W33" s="90">
        <f t="shared" si="22"/>
        <v>39023.966374453557</v>
      </c>
      <c r="X33" s="90">
        <f t="shared" si="22"/>
        <v>36743.03223598886</v>
      </c>
      <c r="Y33" s="91">
        <f t="shared" si="22"/>
        <v>34416.479414754867</v>
      </c>
    </row>
    <row r="34" spans="2:25" ht="22.35" customHeight="1" thickBot="1">
      <c r="B34" s="202"/>
      <c r="C34" s="128" t="s">
        <v>76</v>
      </c>
      <c r="D34" s="129"/>
      <c r="E34" s="33"/>
      <c r="F34" s="234">
        <f>IF(E26="フルローン",G33/F25,"")</f>
        <v>0.54846938775510201</v>
      </c>
      <c r="G34" s="235"/>
      <c r="N34" s="245" t="s">
        <v>77</v>
      </c>
      <c r="O34" s="246"/>
      <c r="P34" s="92">
        <f t="shared" ref="P34:Y34" si="23">IF(P33&lt;=0,"",P6/P33)</f>
        <v>0.14507602871593395</v>
      </c>
      <c r="Q34" s="92">
        <f t="shared" si="23"/>
        <v>0.15002765092774084</v>
      </c>
      <c r="R34" s="92">
        <f t="shared" si="23"/>
        <v>0.15549326213807765</v>
      </c>
      <c r="S34" s="92">
        <f t="shared" si="23"/>
        <v>0.16155392706310276</v>
      </c>
      <c r="T34" s="92">
        <f t="shared" si="23"/>
        <v>0.16399311594882657</v>
      </c>
      <c r="U34" s="92">
        <f t="shared" si="23"/>
        <v>0.17029338607778197</v>
      </c>
      <c r="V34" s="92">
        <f t="shared" si="23"/>
        <v>0.17743404546465244</v>
      </c>
      <c r="W34" s="92">
        <f t="shared" si="23"/>
        <v>0.18558441575382817</v>
      </c>
      <c r="X34" s="92">
        <f t="shared" si="23"/>
        <v>0.19496267901873152</v>
      </c>
      <c r="Y34" s="93">
        <f t="shared" si="23"/>
        <v>0.20585487302814123</v>
      </c>
    </row>
    <row r="35" spans="2:25" ht="22.35" customHeight="1" thickBot="1">
      <c r="B35" s="202"/>
      <c r="C35" s="208" t="s">
        <v>78</v>
      </c>
      <c r="D35" s="209"/>
      <c r="E35" s="94">
        <f>ROUND(G33*100000000/F10,H39-LEN(INT(G33*100000000/F10)))</f>
        <v>3840000</v>
      </c>
      <c r="F35" s="236" t="str">
        <f>IF(E35&gt;=3000000,"Excellent",IF(E35&gt;=2500000,"Good",IF(E35&gt;=2000000,"Passable",IF(E35&lt;=2000000,"Bad"))))</f>
        <v>Excellent</v>
      </c>
      <c r="G35" s="237"/>
      <c r="I35" s="95" t="s">
        <v>79</v>
      </c>
      <c r="M35" s="21"/>
    </row>
    <row r="36" spans="2:25" ht="22.35" customHeight="1">
      <c r="B36" s="202"/>
      <c r="C36" s="221" t="s">
        <v>80</v>
      </c>
      <c r="D36" s="96" t="s">
        <v>81</v>
      </c>
      <c r="E36" s="97"/>
      <c r="F36" s="249">
        <v>4.4999999999999998E-2</v>
      </c>
      <c r="G36" s="250"/>
      <c r="I36" s="238" t="s">
        <v>82</v>
      </c>
      <c r="J36" s="239"/>
      <c r="K36" s="110" t="s">
        <v>83</v>
      </c>
      <c r="L36" s="239" t="s">
        <v>84</v>
      </c>
      <c r="M36" s="239"/>
      <c r="N36" s="111" t="s">
        <v>85</v>
      </c>
    </row>
    <row r="37" spans="2:25" ht="22.35" customHeight="1">
      <c r="B37" s="202"/>
      <c r="C37" s="221"/>
      <c r="D37" s="71" t="s">
        <v>70</v>
      </c>
      <c r="E37" s="74">
        <f>G37/F23</f>
        <v>0.502822662601626</v>
      </c>
      <c r="F37" s="75" t="str">
        <f>IF(E37&lt;=40%,"◎",IF(E37&lt;=45%,"○",IF(E37&lt;=55%,"△",IF(E37&gt;=55%,"×"))))</f>
        <v>△</v>
      </c>
      <c r="G37" s="98">
        <f>ROUND(-PMT(F36,F28,F26),0)</f>
        <v>3958220</v>
      </c>
      <c r="I37" s="251">
        <v>20000</v>
      </c>
      <c r="J37" s="252"/>
      <c r="K37" s="99"/>
      <c r="L37" s="247"/>
      <c r="M37" s="247"/>
      <c r="N37" s="112"/>
    </row>
    <row r="38" spans="2:25" ht="22.35" customHeight="1" thickBot="1">
      <c r="B38" s="202"/>
      <c r="C38" s="221"/>
      <c r="D38" s="100" t="s">
        <v>74</v>
      </c>
      <c r="E38" s="33"/>
      <c r="F38" s="232">
        <f>F23-G37-F31</f>
        <v>1945780</v>
      </c>
      <c r="G38" s="233"/>
      <c r="H38" s="101"/>
      <c r="I38" s="253">
        <v>60000</v>
      </c>
      <c r="J38" s="254"/>
      <c r="K38" s="102">
        <f>I38/(+I37+I38)</f>
        <v>0.75</v>
      </c>
      <c r="L38" s="255">
        <f>$F$11/1000*K38</f>
        <v>42000</v>
      </c>
      <c r="M38" s="255"/>
      <c r="N38" s="113">
        <f>ROUND(L38-L38/1.08,-2)</f>
        <v>3100</v>
      </c>
    </row>
    <row r="39" spans="2:25" ht="22.35" customHeight="1" thickTop="1" thickBot="1">
      <c r="B39" s="203"/>
      <c r="C39" s="248"/>
      <c r="D39" s="103">
        <f>D30</f>
        <v>0.1</v>
      </c>
      <c r="E39" s="104">
        <f>1-D39</f>
        <v>0.9</v>
      </c>
      <c r="F39" s="256">
        <f>ROUND(F30-G37-F31,$H$39-LEN(INT(F30-G37-F31)))</f>
        <v>1160000</v>
      </c>
      <c r="G39" s="257"/>
      <c r="H39" s="105">
        <v>3</v>
      </c>
      <c r="I39" s="258">
        <v>0.2</v>
      </c>
      <c r="J39" s="259"/>
      <c r="K39" s="259"/>
      <c r="L39" s="259"/>
      <c r="M39" s="259"/>
      <c r="N39" s="116">
        <f>N38*(1-I39)</f>
        <v>2480</v>
      </c>
    </row>
    <row r="42" spans="2:25" ht="22.35" customHeight="1">
      <c r="J42" s="106"/>
    </row>
  </sheetData>
  <mergeCells count="103">
    <mergeCell ref="N34:O34"/>
    <mergeCell ref="L36:M36"/>
    <mergeCell ref="L37:M37"/>
    <mergeCell ref="C36:C39"/>
    <mergeCell ref="F36:G36"/>
    <mergeCell ref="I36:J36"/>
    <mergeCell ref="I37:J37"/>
    <mergeCell ref="F38:G38"/>
    <mergeCell ref="I38:J38"/>
    <mergeCell ref="L38:M38"/>
    <mergeCell ref="F39:G39"/>
    <mergeCell ref="I39:M39"/>
    <mergeCell ref="F31:G31"/>
    <mergeCell ref="F32:G32"/>
    <mergeCell ref="C34:D34"/>
    <mergeCell ref="F34:G34"/>
    <mergeCell ref="C35:D35"/>
    <mergeCell ref="F35:G35"/>
    <mergeCell ref="I32:J32"/>
    <mergeCell ref="I33:J33"/>
    <mergeCell ref="K32:L32"/>
    <mergeCell ref="K33:L33"/>
    <mergeCell ref="I22:I23"/>
    <mergeCell ref="K22:L22"/>
    <mergeCell ref="B23:B39"/>
    <mergeCell ref="C23:D23"/>
    <mergeCell ref="F23:G23"/>
    <mergeCell ref="K23:L23"/>
    <mergeCell ref="C24:D24"/>
    <mergeCell ref="F24:G24"/>
    <mergeCell ref="C25:D25"/>
    <mergeCell ref="F25:G25"/>
    <mergeCell ref="I25:L25"/>
    <mergeCell ref="C26:D26"/>
    <mergeCell ref="F26:G26"/>
    <mergeCell ref="I26:I29"/>
    <mergeCell ref="J26:J27"/>
    <mergeCell ref="K26:L26"/>
    <mergeCell ref="C27:C33"/>
    <mergeCell ref="F27:G27"/>
    <mergeCell ref="K27:L27"/>
    <mergeCell ref="F28:G28"/>
    <mergeCell ref="J28:J29"/>
    <mergeCell ref="K28:L28"/>
    <mergeCell ref="K29:L29"/>
    <mergeCell ref="F30:G30"/>
    <mergeCell ref="C18:D18"/>
    <mergeCell ref="F18:G18"/>
    <mergeCell ref="C19:D19"/>
    <mergeCell ref="F19:G19"/>
    <mergeCell ref="I19:L19"/>
    <mergeCell ref="C21:D21"/>
    <mergeCell ref="F21:G21"/>
    <mergeCell ref="I21:J21"/>
    <mergeCell ref="K21:L21"/>
    <mergeCell ref="F11:G11"/>
    <mergeCell ref="I12:L12"/>
    <mergeCell ref="B13:B21"/>
    <mergeCell ref="C13:D13"/>
    <mergeCell ref="F13:G13"/>
    <mergeCell ref="I13:J13"/>
    <mergeCell ref="K13:L13"/>
    <mergeCell ref="C14:D14"/>
    <mergeCell ref="F14:G14"/>
    <mergeCell ref="I14:J14"/>
    <mergeCell ref="K14:L14"/>
    <mergeCell ref="C20:D20"/>
    <mergeCell ref="F20:G20"/>
    <mergeCell ref="I20:J20"/>
    <mergeCell ref="K20:L20"/>
    <mergeCell ref="C15:D15"/>
    <mergeCell ref="F15:G15"/>
    <mergeCell ref="I15:J15"/>
    <mergeCell ref="K15:L15"/>
    <mergeCell ref="C16:D16"/>
    <mergeCell ref="F16:G16"/>
    <mergeCell ref="I16:I17"/>
    <mergeCell ref="C17:D17"/>
    <mergeCell ref="F17:G17"/>
    <mergeCell ref="B4:E4"/>
    <mergeCell ref="B5:B11"/>
    <mergeCell ref="C5:D5"/>
    <mergeCell ref="F5:G5"/>
    <mergeCell ref="I5:L5"/>
    <mergeCell ref="C6:D6"/>
    <mergeCell ref="F6:G6"/>
    <mergeCell ref="I6:J6"/>
    <mergeCell ref="K6:L6"/>
    <mergeCell ref="C7:D8"/>
    <mergeCell ref="F7:G7"/>
    <mergeCell ref="I7:J7"/>
    <mergeCell ref="K7:L7"/>
    <mergeCell ref="F8:G8"/>
    <mergeCell ref="I8:J8"/>
    <mergeCell ref="K8:L8"/>
    <mergeCell ref="C9:D9"/>
    <mergeCell ref="F9:G9"/>
    <mergeCell ref="I9:J9"/>
    <mergeCell ref="K9:L9"/>
    <mergeCell ref="C10:D11"/>
    <mergeCell ref="F10:G10"/>
    <mergeCell ref="I10:J10"/>
    <mergeCell ref="K10:L10"/>
  </mergeCells>
  <phoneticPr fontId="3"/>
  <dataValidations count="2">
    <dataValidation type="list" allowBlank="1" showInputMessage="1" showErrorMessage="1" sqref="E6">
      <formula1>"RC/SRC,S"</formula1>
    </dataValidation>
    <dataValidation type="list" allowBlank="1" showInputMessage="1" showErrorMessage="1" sqref="E26">
      <formula1>"フルローン,オーバーローン"</formula1>
    </dataValidation>
  </dataValidations>
  <hyperlinks>
    <hyperlink ref="C14:D14" r:id="rId1" display="路線価(単価)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4294967293" r:id="rId2"/>
  <headerFooter alignWithMargins="0">
    <oddFooter>&amp;R&amp;"HGPｺﾞｼｯｸM,ﾒﾃﾞｨｳﾑ"&amp;14Copyright © 2018 Hirofumi Suzuki All Rights Reserved.　&amp;G</oddFooter>
  </headerFooter>
  <drawing r:id="rId3"/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収益不動産ＣＦ分析シート</vt:lpstr>
      <vt:lpstr>収益不動産ＣＦ分析シート!Print_Area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鈴木宏史</dc:creator>
  <cp:lastModifiedBy>Nakazato Yugo</cp:lastModifiedBy>
  <cp:lastPrinted>2018-08-10T01:26:52Z</cp:lastPrinted>
  <dcterms:created xsi:type="dcterms:W3CDTF">2018-08-09T05:05:11Z</dcterms:created>
  <dcterms:modified xsi:type="dcterms:W3CDTF">2018-08-16T07:42:58Z</dcterms:modified>
</cp:coreProperties>
</file>